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9. 18 เม.ย. 66\"/>
    </mc:Choice>
  </mc:AlternateContent>
  <xr:revisionPtr revIDLastSave="0" documentId="13_ncr:1_{FA5ADAC1-501C-4EAF-93B4-1D32B4957FCA}" xr6:coauthVersionLast="45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E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K826" i="21" s="1"/>
  <c r="J825" i="21"/>
  <c r="I825" i="21"/>
  <c r="J824" i="21"/>
  <c r="I824" i="21"/>
  <c r="J823" i="21"/>
  <c r="I823" i="21"/>
  <c r="K823" i="21" s="1"/>
  <c r="J822" i="21"/>
  <c r="I822" i="21"/>
  <c r="J821" i="21"/>
  <c r="I821" i="2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P808" i="21"/>
  <c r="N808" i="21"/>
  <c r="M808" i="21"/>
  <c r="L808" i="21"/>
  <c r="O808" i="21" s="1"/>
  <c r="O807" i="21"/>
  <c r="M807" i="21"/>
  <c r="L807" i="21"/>
  <c r="P806" i="21"/>
  <c r="N806" i="21"/>
  <c r="M806" i="21"/>
  <c r="L806" i="21"/>
  <c r="K804" i="21"/>
  <c r="J804" i="21"/>
  <c r="J803" i="21"/>
  <c r="I803" i="21"/>
  <c r="K803" i="21" s="1"/>
  <c r="J802" i="21"/>
  <c r="J801" i="21"/>
  <c r="J785" i="21" s="1"/>
  <c r="I801" i="21"/>
  <c r="J800" i="21"/>
  <c r="P798" i="21"/>
  <c r="O798" i="21"/>
  <c r="P797" i="21"/>
  <c r="O797" i="21"/>
  <c r="P796" i="21"/>
  <c r="N796" i="21"/>
  <c r="M796" i="21"/>
  <c r="L796" i="21"/>
  <c r="O796" i="21" s="1"/>
  <c r="N795" i="21"/>
  <c r="N791" i="21"/>
  <c r="N789" i="21" s="1"/>
  <c r="L791" i="21"/>
  <c r="P790" i="21"/>
  <c r="O790" i="21"/>
  <c r="N788" i="21"/>
  <c r="N786" i="21" s="1"/>
  <c r="L788" i="21"/>
  <c r="O787" i="21"/>
  <c r="N787" i="21"/>
  <c r="M787" i="21"/>
  <c r="P787" i="21" s="1"/>
  <c r="L787" i="21"/>
  <c r="P782" i="21"/>
  <c r="O782" i="21"/>
  <c r="P781" i="21"/>
  <c r="O781" i="21"/>
  <c r="P780" i="21"/>
  <c r="N780" i="21"/>
  <c r="M780" i="21"/>
  <c r="L780" i="21"/>
  <c r="O780" i="21" s="1"/>
  <c r="P775" i="21"/>
  <c r="O775" i="21"/>
  <c r="N775" i="21"/>
  <c r="N772" i="21" s="1"/>
  <c r="P774" i="21"/>
  <c r="O774" i="21"/>
  <c r="P773" i="21"/>
  <c r="N773" i="21"/>
  <c r="M773" i="21"/>
  <c r="L773" i="21"/>
  <c r="O773" i="21" s="1"/>
  <c r="O772" i="21"/>
  <c r="M772" i="21"/>
  <c r="L772" i="21"/>
  <c r="P771" i="21"/>
  <c r="N771" i="21"/>
  <c r="M771" i="21"/>
  <c r="L771" i="21"/>
  <c r="K769" i="21"/>
  <c r="J769" i="21"/>
  <c r="P766" i="21"/>
  <c r="O766" i="21"/>
  <c r="P765" i="21"/>
  <c r="O765" i="21"/>
  <c r="P764" i="21"/>
  <c r="N764" i="21"/>
  <c r="M764" i="21"/>
  <c r="L764" i="21"/>
  <c r="O764" i="21" s="1"/>
  <c r="P759" i="21"/>
  <c r="O759" i="21"/>
  <c r="N759" i="21"/>
  <c r="N756" i="21" s="1"/>
  <c r="P758" i="21"/>
  <c r="O758" i="21"/>
  <c r="P757" i="21"/>
  <c r="N757" i="21"/>
  <c r="M757" i="21"/>
  <c r="L757" i="21"/>
  <c r="O757" i="21" s="1"/>
  <c r="O756" i="21"/>
  <c r="M756" i="21"/>
  <c r="L756" i="21"/>
  <c r="P755" i="21"/>
  <c r="N755" i="21"/>
  <c r="N754" i="21" s="1"/>
  <c r="M755" i="21"/>
  <c r="L755" i="21"/>
  <c r="K753" i="21"/>
  <c r="J753" i="21"/>
  <c r="P749" i="21"/>
  <c r="O749" i="21"/>
  <c r="P748" i="21"/>
  <c r="O748" i="21"/>
  <c r="P747" i="21"/>
  <c r="N747" i="21"/>
  <c r="M747" i="21"/>
  <c r="L747" i="21"/>
  <c r="O747" i="21" s="1"/>
  <c r="P742" i="21"/>
  <c r="O742" i="21"/>
  <c r="N742" i="21"/>
  <c r="N739" i="21" s="1"/>
  <c r="P741" i="21"/>
  <c r="O741" i="21"/>
  <c r="P740" i="21"/>
  <c r="N740" i="21"/>
  <c r="M740" i="21"/>
  <c r="L740" i="21"/>
  <c r="O740" i="21" s="1"/>
  <c r="O739" i="21"/>
  <c r="M739" i="21"/>
  <c r="L739" i="21"/>
  <c r="P738" i="21"/>
  <c r="N738" i="21"/>
  <c r="N737" i="21" s="1"/>
  <c r="M738" i="21"/>
  <c r="L738" i="21"/>
  <c r="K736" i="21"/>
  <c r="J736" i="21"/>
  <c r="J729" i="21"/>
  <c r="I729" i="21"/>
  <c r="K729" i="21" s="1"/>
  <c r="J728" i="21"/>
  <c r="J722" i="21" s="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K700" i="21" s="1"/>
  <c r="I700" i="21"/>
  <c r="J699" i="21"/>
  <c r="I699" i="21"/>
  <c r="P697" i="21"/>
  <c r="O697" i="21"/>
  <c r="P696" i="21"/>
  <c r="O696" i="21"/>
  <c r="P695" i="21"/>
  <c r="N695" i="21"/>
  <c r="M695" i="21"/>
  <c r="L695" i="21"/>
  <c r="O695" i="21" s="1"/>
  <c r="N690" i="21"/>
  <c r="N687" i="21" s="1"/>
  <c r="N685" i="21" s="1"/>
  <c r="L690" i="21"/>
  <c r="L687" i="21" s="1"/>
  <c r="N688" i="21"/>
  <c r="P686" i="21"/>
  <c r="N686" i="21"/>
  <c r="M686" i="21"/>
  <c r="L686" i="21"/>
  <c r="J679" i="21"/>
  <c r="J678" i="21" s="1"/>
  <c r="I678" i="21"/>
  <c r="K678" i="21" s="1"/>
  <c r="J675" i="21"/>
  <c r="K674" i="21"/>
  <c r="K671" i="21"/>
  <c r="I671" i="21"/>
  <c r="I670" i="21"/>
  <c r="K670" i="21" s="1"/>
  <c r="J669" i="21"/>
  <c r="I669" i="21"/>
  <c r="K673" i="21" s="1"/>
  <c r="P667" i="21"/>
  <c r="O667" i="21"/>
  <c r="P666" i="21"/>
  <c r="O666" i="21"/>
  <c r="P665" i="21"/>
  <c r="N665" i="21"/>
  <c r="M665" i="21"/>
  <c r="L665" i="21"/>
  <c r="O665" i="21" s="1"/>
  <c r="N664" i="21"/>
  <c r="N660" i="21"/>
  <c r="N658" i="21" s="1"/>
  <c r="L660" i="21"/>
  <c r="P659" i="21"/>
  <c r="O659" i="21"/>
  <c r="N657" i="21"/>
  <c r="O656" i="21"/>
  <c r="N656" i="21"/>
  <c r="M656" i="21"/>
  <c r="P656" i="21" s="1"/>
  <c r="L656" i="21"/>
  <c r="N655" i="21"/>
  <c r="J654" i="21"/>
  <c r="K652" i="21"/>
  <c r="J652" i="21"/>
  <c r="J651" i="21"/>
  <c r="J628" i="21" s="1"/>
  <c r="I651" i="21"/>
  <c r="K650" i="21"/>
  <c r="J650" i="21"/>
  <c r="J649" i="21"/>
  <c r="I649" i="21"/>
  <c r="K649" i="21" s="1"/>
  <c r="K648" i="21"/>
  <c r="J648" i="21"/>
  <c r="J647" i="21"/>
  <c r="K647" i="21" s="1"/>
  <c r="I647" i="21"/>
  <c r="K646" i="21"/>
  <c r="J646" i="21"/>
  <c r="K645" i="21"/>
  <c r="J645" i="21"/>
  <c r="K644" i="21"/>
  <c r="I644" i="21"/>
  <c r="I643" i="21"/>
  <c r="K643" i="21" s="1"/>
  <c r="P641" i="21"/>
  <c r="L641" i="21"/>
  <c r="L639" i="21" s="1"/>
  <c r="O639" i="21" s="1"/>
  <c r="P640" i="21"/>
  <c r="O640" i="21"/>
  <c r="P639" i="21"/>
  <c r="N639" i="21"/>
  <c r="M639" i="21"/>
  <c r="N638" i="21"/>
  <c r="N634" i="21"/>
  <c r="N632" i="21" s="1"/>
  <c r="L634" i="21"/>
  <c r="O634" i="21" s="1"/>
  <c r="P633" i="21"/>
  <c r="O633" i="21"/>
  <c r="N631" i="21"/>
  <c r="O630" i="21"/>
  <c r="N630" i="21"/>
  <c r="M630" i="21"/>
  <c r="L630" i="21"/>
  <c r="N629" i="21"/>
  <c r="K621" i="21"/>
  <c r="J621" i="21"/>
  <c r="I621" i="21"/>
  <c r="K620" i="21"/>
  <c r="J620" i="21"/>
  <c r="I620" i="21"/>
  <c r="K613" i="21"/>
  <c r="J613" i="21"/>
  <c r="K612" i="21"/>
  <c r="J612" i="21"/>
  <c r="K611" i="21"/>
  <c r="J611" i="21"/>
  <c r="J604" i="21"/>
  <c r="J603" i="21"/>
  <c r="J596" i="21"/>
  <c r="J594" i="21" s="1"/>
  <c r="J595" i="21"/>
  <c r="I594" i="21"/>
  <c r="J593" i="21"/>
  <c r="J592" i="21" s="1"/>
  <c r="I593" i="21"/>
  <c r="K593" i="21" s="1"/>
  <c r="I592" i="21"/>
  <c r="J583" i="21"/>
  <c r="J582" i="21"/>
  <c r="J576" i="21" s="1"/>
  <c r="J559" i="21" s="1"/>
  <c r="J543" i="21" s="1"/>
  <c r="J577" i="21"/>
  <c r="I577" i="21"/>
  <c r="K577" i="21" s="1"/>
  <c r="I576" i="21"/>
  <c r="I559" i="21" s="1"/>
  <c r="J569" i="21"/>
  <c r="K569" i="21" s="1"/>
  <c r="I569" i="21"/>
  <c r="J568" i="21"/>
  <c r="I568" i="21"/>
  <c r="K568" i="21" s="1"/>
  <c r="K561" i="21"/>
  <c r="J561" i="21"/>
  <c r="I561" i="21"/>
  <c r="J560" i="21"/>
  <c r="I560" i="21"/>
  <c r="K560" i="21" s="1"/>
  <c r="P557" i="21"/>
  <c r="L557" i="21"/>
  <c r="O557" i="21" s="1"/>
  <c r="P556" i="21"/>
  <c r="O556" i="21"/>
  <c r="N555" i="21"/>
  <c r="M555" i="21"/>
  <c r="M545" i="21" s="1"/>
  <c r="L555" i="21"/>
  <c r="O555" i="21" s="1"/>
  <c r="N553" i="21"/>
  <c r="N549" i="21" s="1"/>
  <c r="O549" i="21"/>
  <c r="L549" i="21"/>
  <c r="M549" i="21" s="1"/>
  <c r="P548" i="21"/>
  <c r="O548" i="21"/>
  <c r="L546" i="21"/>
  <c r="N545" i="21"/>
  <c r="L545" i="21"/>
  <c r="L544" i="21" s="1"/>
  <c r="I542" i="21"/>
  <c r="K542" i="21" s="1"/>
  <c r="I541" i="21"/>
  <c r="K541" i="21" s="1"/>
  <c r="K540" i="21"/>
  <c r="I540" i="21"/>
  <c r="I539" i="21"/>
  <c r="K539" i="21" s="1"/>
  <c r="I538" i="21"/>
  <c r="K538" i="21" s="1"/>
  <c r="I537" i="21"/>
  <c r="K537" i="21" s="1"/>
  <c r="P535" i="21"/>
  <c r="L535" i="21"/>
  <c r="O535" i="21" s="1"/>
  <c r="P534" i="21"/>
  <c r="O534" i="21"/>
  <c r="N533" i="21"/>
  <c r="M533" i="21"/>
  <c r="P533" i="21" s="1"/>
  <c r="L533" i="21"/>
  <c r="O533" i="21" s="1"/>
  <c r="P528" i="21"/>
  <c r="N528" i="21"/>
  <c r="L528" i="21"/>
  <c r="O528" i="21" s="1"/>
  <c r="P527" i="21"/>
  <c r="O527" i="21"/>
  <c r="P526" i="21"/>
  <c r="M526" i="21"/>
  <c r="L526" i="21"/>
  <c r="O526" i="21" s="1"/>
  <c r="M525" i="21"/>
  <c r="P524" i="21"/>
  <c r="N524" i="21"/>
  <c r="M524" i="21"/>
  <c r="L524" i="21"/>
  <c r="K517" i="21"/>
  <c r="J517" i="21"/>
  <c r="J501" i="21" s="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O504" i="21"/>
  <c r="N504" i="21"/>
  <c r="M504" i="21"/>
  <c r="P504" i="21" s="1"/>
  <c r="L504" i="21"/>
  <c r="P503" i="21"/>
  <c r="N503" i="21"/>
  <c r="N502" i="21" s="1"/>
  <c r="M503" i="21"/>
  <c r="M502" i="21" s="1"/>
  <c r="P502" i="21" s="1"/>
  <c r="L503" i="21"/>
  <c r="O503" i="21" s="1"/>
  <c r="O502" i="21"/>
  <c r="L502" i="21"/>
  <c r="K501" i="21"/>
  <c r="K500" i="21"/>
  <c r="J500" i="21"/>
  <c r="I498" i="21"/>
  <c r="K498" i="21" s="1"/>
  <c r="K495" i="21"/>
  <c r="I495" i="2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2" i="21" s="1"/>
  <c r="N469" i="21" s="1"/>
  <c r="M472" i="21"/>
  <c r="M469" i="21" s="1"/>
  <c r="L472" i="21"/>
  <c r="O472" i="21" s="1"/>
  <c r="P471" i="21"/>
  <c r="O471" i="21"/>
  <c r="N470" i="21"/>
  <c r="L470" i="21"/>
  <c r="P468" i="21"/>
  <c r="N468" i="21"/>
  <c r="N467" i="21" s="1"/>
  <c r="M468" i="21"/>
  <c r="L468" i="21"/>
  <c r="O468" i="21" s="1"/>
  <c r="J466" i="21"/>
  <c r="I466" i="21"/>
  <c r="K466" i="21" s="1"/>
  <c r="J465" i="21"/>
  <c r="I465" i="21"/>
  <c r="K464" i="21"/>
  <c r="I464" i="21"/>
  <c r="I463" i="21"/>
  <c r="K463" i="21" s="1"/>
  <c r="K462" i="21"/>
  <c r="I462" i="21"/>
  <c r="I460" i="21"/>
  <c r="I442" i="21" s="1"/>
  <c r="K442" i="21" s="1"/>
  <c r="K458" i="21"/>
  <c r="P456" i="21"/>
  <c r="O456" i="21"/>
  <c r="L456" i="21"/>
  <c r="P455" i="21"/>
  <c r="O455" i="21"/>
  <c r="P454" i="21"/>
  <c r="N454" i="21"/>
  <c r="M454" i="21"/>
  <c r="L454" i="21"/>
  <c r="O454" i="21" s="1"/>
  <c r="N453" i="21"/>
  <c r="N449" i="21"/>
  <c r="N447" i="21" s="1"/>
  <c r="L449" i="21"/>
  <c r="O449" i="21" s="1"/>
  <c r="P448" i="21"/>
  <c r="O448" i="21"/>
  <c r="L446" i="21"/>
  <c r="O445" i="21"/>
  <c r="N445" i="21"/>
  <c r="M445" i="21"/>
  <c r="P445" i="21" s="1"/>
  <c r="L445" i="21"/>
  <c r="J443" i="21"/>
  <c r="I443" i="21"/>
  <c r="J442" i="21"/>
  <c r="I441" i="21"/>
  <c r="K441" i="21" s="1"/>
  <c r="I440" i="21"/>
  <c r="K440" i="21" s="1"/>
  <c r="I439" i="21"/>
  <c r="I438" i="21"/>
  <c r="K438" i="21" s="1"/>
  <c r="I437" i="21"/>
  <c r="K437" i="21" s="1"/>
  <c r="I435" i="21"/>
  <c r="K435" i="21" s="1"/>
  <c r="J434" i="21"/>
  <c r="J418" i="21" s="1"/>
  <c r="I434" i="21"/>
  <c r="P431" i="21"/>
  <c r="L431" i="21"/>
  <c r="O431" i="21" s="1"/>
  <c r="P430" i="21"/>
  <c r="O430" i="21"/>
  <c r="N429" i="21"/>
  <c r="M429" i="21"/>
  <c r="P429" i="21" s="1"/>
  <c r="N428" i="21"/>
  <c r="N424" i="21" s="1"/>
  <c r="L424" i="21"/>
  <c r="P423" i="21"/>
  <c r="O423" i="21"/>
  <c r="O420" i="21"/>
  <c r="N420" i="21"/>
  <c r="M420" i="21"/>
  <c r="P420" i="21" s="1"/>
  <c r="L420" i="21"/>
  <c r="K413" i="21"/>
  <c r="K412" i="21"/>
  <c r="P410" i="21"/>
  <c r="O410" i="21"/>
  <c r="N410" i="21"/>
  <c r="N408" i="21" s="1"/>
  <c r="M410" i="21"/>
  <c r="L410" i="21"/>
  <c r="L404" i="21" s="1"/>
  <c r="P409" i="21"/>
  <c r="O409" i="21"/>
  <c r="P408" i="21"/>
  <c r="M408" i="21"/>
  <c r="L408" i="21"/>
  <c r="O408" i="21" s="1"/>
  <c r="O407" i="21"/>
  <c r="N407" i="21"/>
  <c r="N405" i="21" s="1"/>
  <c r="M407" i="21"/>
  <c r="P407" i="21" s="1"/>
  <c r="L407" i="21"/>
  <c r="P406" i="21"/>
  <c r="O406" i="21"/>
  <c r="P405" i="21"/>
  <c r="O405" i="21"/>
  <c r="M405" i="21"/>
  <c r="L405" i="21"/>
  <c r="M404" i="21"/>
  <c r="P404" i="21" s="1"/>
  <c r="O403" i="21"/>
  <c r="N403" i="21"/>
  <c r="M403" i="21"/>
  <c r="L403" i="21"/>
  <c r="J401" i="21"/>
  <c r="I401" i="21"/>
  <c r="K401" i="21" s="1"/>
  <c r="K400" i="21"/>
  <c r="K399" i="21"/>
  <c r="P397" i="21"/>
  <c r="N397" i="21"/>
  <c r="N391" i="21" s="1"/>
  <c r="N389" i="21" s="1"/>
  <c r="M397" i="21"/>
  <c r="L397" i="21"/>
  <c r="O397" i="21" s="1"/>
  <c r="P396" i="21"/>
  <c r="O396" i="21"/>
  <c r="O395" i="21"/>
  <c r="N395" i="21"/>
  <c r="M395" i="21"/>
  <c r="P395" i="21" s="1"/>
  <c r="L395" i="21"/>
  <c r="N394" i="21"/>
  <c r="N392" i="21" s="1"/>
  <c r="M394" i="21"/>
  <c r="L394" i="21"/>
  <c r="L392" i="21" s="1"/>
  <c r="O392" i="21" s="1"/>
  <c r="P393" i="21"/>
  <c r="O393" i="21"/>
  <c r="M392" i="21"/>
  <c r="P392" i="21" s="1"/>
  <c r="P390" i="21"/>
  <c r="O390" i="21"/>
  <c r="N390" i="21"/>
  <c r="M390" i="21"/>
  <c r="L390" i="21"/>
  <c r="K388" i="21"/>
  <c r="J388" i="21"/>
  <c r="I388" i="21"/>
  <c r="J385" i="21"/>
  <c r="I385" i="21"/>
  <c r="K385" i="21" s="1"/>
  <c r="K382" i="21"/>
  <c r="J382" i="21"/>
  <c r="J381" i="21"/>
  <c r="I381" i="21"/>
  <c r="K380" i="21"/>
  <c r="J380" i="21"/>
  <c r="J379" i="21"/>
  <c r="I379" i="21"/>
  <c r="K379" i="21" s="1"/>
  <c r="J378" i="21"/>
  <c r="I378" i="21"/>
  <c r="K377" i="21"/>
  <c r="J377" i="21"/>
  <c r="I374" i="21"/>
  <c r="K373" i="21"/>
  <c r="J373" i="21"/>
  <c r="J372" i="21"/>
  <c r="J365" i="21" s="1"/>
  <c r="I372" i="21"/>
  <c r="K372" i="21" s="1"/>
  <c r="K371" i="21"/>
  <c r="J371" i="21"/>
  <c r="K370" i="21"/>
  <c r="J370" i="21"/>
  <c r="I370" i="21"/>
  <c r="J369" i="21"/>
  <c r="I369" i="21"/>
  <c r="K368" i="21"/>
  <c r="J368" i="21"/>
  <c r="K365" i="21"/>
  <c r="I365" i="21"/>
  <c r="I364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P353" i="21"/>
  <c r="O353" i="21"/>
  <c r="N353" i="21"/>
  <c r="N351" i="21" s="1"/>
  <c r="M353" i="21"/>
  <c r="M351" i="21" s="1"/>
  <c r="P351" i="21" s="1"/>
  <c r="L353" i="21"/>
  <c r="P352" i="21"/>
  <c r="O352" i="21"/>
  <c r="L351" i="21"/>
  <c r="O351" i="21" s="1"/>
  <c r="N350" i="21"/>
  <c r="N348" i="21" s="1"/>
  <c r="P348" i="21" s="1"/>
  <c r="M350" i="21"/>
  <c r="M347" i="21" s="1"/>
  <c r="L350" i="21"/>
  <c r="P349" i="21"/>
  <c r="O349" i="21"/>
  <c r="M348" i="21"/>
  <c r="L348" i="21"/>
  <c r="L347" i="21"/>
  <c r="O346" i="21"/>
  <c r="N346" i="21"/>
  <c r="M346" i="21"/>
  <c r="P346" i="21" s="1"/>
  <c r="L346" i="21"/>
  <c r="L345" i="21"/>
  <c r="J343" i="21"/>
  <c r="J342" i="21"/>
  <c r="J341" i="21"/>
  <c r="J327" i="21" s="1"/>
  <c r="J340" i="21"/>
  <c r="I340" i="21"/>
  <c r="K340" i="21" s="1"/>
  <c r="J338" i="21"/>
  <c r="I338" i="21"/>
  <c r="P336" i="21"/>
  <c r="O336" i="21"/>
  <c r="N336" i="21"/>
  <c r="N334" i="21" s="1"/>
  <c r="M336" i="21"/>
  <c r="L336" i="21"/>
  <c r="L334" i="21" s="1"/>
  <c r="O334" i="21" s="1"/>
  <c r="P335" i="21"/>
  <c r="O335" i="21"/>
  <c r="P334" i="21"/>
  <c r="M334" i="21"/>
  <c r="N333" i="21"/>
  <c r="N331" i="21" s="1"/>
  <c r="M333" i="21"/>
  <c r="M330" i="21" s="1"/>
  <c r="L333" i="21"/>
  <c r="L330" i="21" s="1"/>
  <c r="L328" i="21" s="1"/>
  <c r="P332" i="21"/>
  <c r="O332" i="21"/>
  <c r="N330" i="21"/>
  <c r="O329" i="21"/>
  <c r="N329" i="21"/>
  <c r="M329" i="21"/>
  <c r="L329" i="21"/>
  <c r="I327" i="21"/>
  <c r="K325" i="21"/>
  <c r="I325" i="21"/>
  <c r="I314" i="21" s="1"/>
  <c r="K314" i="21" s="1"/>
  <c r="P323" i="21"/>
  <c r="N323" i="21"/>
  <c r="N317" i="21" s="1"/>
  <c r="N315" i="21" s="1"/>
  <c r="M323" i="21"/>
  <c r="L323" i="21"/>
  <c r="P322" i="21"/>
  <c r="O322" i="21"/>
  <c r="M321" i="21"/>
  <c r="P321" i="21" s="1"/>
  <c r="N320" i="21"/>
  <c r="M320" i="21"/>
  <c r="M317" i="21" s="1"/>
  <c r="P317" i="21" s="1"/>
  <c r="L320" i="21"/>
  <c r="O320" i="21" s="1"/>
  <c r="P319" i="21"/>
  <c r="O319" i="21"/>
  <c r="N318" i="21"/>
  <c r="L317" i="21"/>
  <c r="O317" i="21" s="1"/>
  <c r="P316" i="21"/>
  <c r="O316" i="21"/>
  <c r="N316" i="21"/>
  <c r="M316" i="21"/>
  <c r="L316" i="21"/>
  <c r="J314" i="21"/>
  <c r="K312" i="21"/>
  <c r="I312" i="21"/>
  <c r="I311" i="21"/>
  <c r="K311" i="21" s="1"/>
  <c r="K310" i="21"/>
  <c r="I310" i="21"/>
  <c r="I309" i="21"/>
  <c r="I297" i="21" s="1"/>
  <c r="K297" i="21" s="1"/>
  <c r="N306" i="21"/>
  <c r="M306" i="21"/>
  <c r="P306" i="21" s="1"/>
  <c r="L306" i="21"/>
  <c r="L304" i="21" s="1"/>
  <c r="O304" i="21" s="1"/>
  <c r="P305" i="21"/>
  <c r="O305" i="21"/>
  <c r="N304" i="21"/>
  <c r="N303" i="21"/>
  <c r="M303" i="21"/>
  <c r="M300" i="21" s="1"/>
  <c r="L303" i="21"/>
  <c r="L301" i="21" s="1"/>
  <c r="P302" i="21"/>
  <c r="O302" i="21"/>
  <c r="M301" i="21"/>
  <c r="N299" i="21"/>
  <c r="M299" i="21"/>
  <c r="P299" i="21" s="1"/>
  <c r="L299" i="21"/>
  <c r="O299" i="21" s="1"/>
  <c r="J297" i="21"/>
  <c r="I294" i="21"/>
  <c r="K294" i="21" s="1"/>
  <c r="I293" i="21"/>
  <c r="K293" i="21" s="1"/>
  <c r="K291" i="21"/>
  <c r="I291" i="21"/>
  <c r="I290" i="21"/>
  <c r="K290" i="21" s="1"/>
  <c r="I288" i="21"/>
  <c r="I275" i="21" s="1"/>
  <c r="I287" i="21"/>
  <c r="K287" i="21" s="1"/>
  <c r="N285" i="21"/>
  <c r="M285" i="21"/>
  <c r="M283" i="21" s="1"/>
  <c r="P283" i="21" s="1"/>
  <c r="L285" i="21"/>
  <c r="O285" i="21" s="1"/>
  <c r="P284" i="21"/>
  <c r="O284" i="21"/>
  <c r="N282" i="21"/>
  <c r="O282" i="21" s="1"/>
  <c r="M282" i="21"/>
  <c r="L282" i="21"/>
  <c r="P281" i="21"/>
  <c r="O281" i="21"/>
  <c r="L280" i="21"/>
  <c r="L279" i="21"/>
  <c r="P278" i="21"/>
  <c r="O278" i="21"/>
  <c r="N278" i="21"/>
  <c r="M278" i="21"/>
  <c r="L278" i="21"/>
  <c r="L277" i="21"/>
  <c r="J276" i="21"/>
  <c r="I276" i="21"/>
  <c r="K276" i="21" s="1"/>
  <c r="I271" i="21"/>
  <c r="K271" i="21" s="1"/>
  <c r="P269" i="21"/>
  <c r="N269" i="21"/>
  <c r="M269" i="21"/>
  <c r="L269" i="21"/>
  <c r="L267" i="21" s="1"/>
  <c r="O267" i="21" s="1"/>
  <c r="P268" i="21"/>
  <c r="O268" i="21"/>
  <c r="N267" i="21"/>
  <c r="M267" i="21"/>
  <c r="P267" i="21" s="1"/>
  <c r="N266" i="21"/>
  <c r="N264" i="21" s="1"/>
  <c r="O264" i="21" s="1"/>
  <c r="M266" i="21"/>
  <c r="P266" i="21" s="1"/>
  <c r="L266" i="21"/>
  <c r="L264" i="21" s="1"/>
  <c r="P265" i="21"/>
  <c r="O265" i="21"/>
  <c r="N263" i="21"/>
  <c r="M263" i="21"/>
  <c r="M261" i="21" s="1"/>
  <c r="N262" i="21"/>
  <c r="M262" i="21"/>
  <c r="P262" i="21" s="1"/>
  <c r="L262" i="21"/>
  <c r="J260" i="21"/>
  <c r="I260" i="21"/>
  <c r="K258" i="21"/>
  <c r="K257" i="21"/>
  <c r="I255" i="21"/>
  <c r="K255" i="21" s="1"/>
  <c r="L253" i="21"/>
  <c r="L252" i="21"/>
  <c r="L251" i="21"/>
  <c r="L250" i="21"/>
  <c r="P249" i="21"/>
  <c r="N249" i="21"/>
  <c r="J248" i="21"/>
  <c r="I248" i="21"/>
  <c r="K248" i="21" s="1"/>
  <c r="K247" i="21"/>
  <c r="K246" i="21"/>
  <c r="I244" i="21"/>
  <c r="L242" i="21"/>
  <c r="L241" i="21"/>
  <c r="L230" i="21" s="1"/>
  <c r="L240" i="21"/>
  <c r="L229" i="21" s="1"/>
  <c r="L239" i="21"/>
  <c r="P238" i="21"/>
  <c r="N238" i="21"/>
  <c r="J237" i="21"/>
  <c r="J236" i="21"/>
  <c r="I236" i="21"/>
  <c r="K236" i="21" s="1"/>
  <c r="K235" i="21"/>
  <c r="J235" i="21"/>
  <c r="I235" i="21"/>
  <c r="J233" i="21"/>
  <c r="N231" i="21"/>
  <c r="N230" i="21"/>
  <c r="N229" i="21"/>
  <c r="N228" i="21"/>
  <c r="L228" i="21"/>
  <c r="J226" i="21"/>
  <c r="J180" i="21" s="1"/>
  <c r="K225" i="21"/>
  <c r="I225" i="21"/>
  <c r="K224" i="21"/>
  <c r="I224" i="21"/>
  <c r="I223" i="21"/>
  <c r="K223" i="21" s="1"/>
  <c r="L220" i="21"/>
  <c r="L219" i="21"/>
  <c r="L218" i="21"/>
  <c r="P217" i="21"/>
  <c r="N217" i="21"/>
  <c r="J216" i="21"/>
  <c r="I216" i="21"/>
  <c r="K216" i="21" s="1"/>
  <c r="I215" i="21"/>
  <c r="K215" i="21" s="1"/>
  <c r="I214" i="21"/>
  <c r="K214" i="21" s="1"/>
  <c r="L212" i="21"/>
  <c r="L211" i="21"/>
  <c r="L209" i="21" s="1"/>
  <c r="O209" i="21" s="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I197" i="21"/>
  <c r="K197" i="21" s="1"/>
  <c r="J194" i="21"/>
  <c r="I193" i="21"/>
  <c r="P191" i="21"/>
  <c r="L191" i="21"/>
  <c r="O191" i="21" s="1"/>
  <c r="J190" i="21"/>
  <c r="N189" i="21"/>
  <c r="N183" i="21" s="1"/>
  <c r="N181" i="21" s="1"/>
  <c r="M189" i="21"/>
  <c r="P189" i="21" s="1"/>
  <c r="L189" i="21"/>
  <c r="O189" i="21" s="1"/>
  <c r="P188" i="21"/>
  <c r="O188" i="21"/>
  <c r="N187" i="21"/>
  <c r="M187" i="21"/>
  <c r="P187" i="21" s="1"/>
  <c r="L187" i="21"/>
  <c r="O187" i="21" s="1"/>
  <c r="N186" i="21"/>
  <c r="M186" i="21"/>
  <c r="L186" i="21"/>
  <c r="O186" i="21" s="1"/>
  <c r="P185" i="21"/>
  <c r="O185" i="21"/>
  <c r="N184" i="21"/>
  <c r="M184" i="21"/>
  <c r="P182" i="21"/>
  <c r="O182" i="21"/>
  <c r="N182" i="21"/>
  <c r="M182" i="21"/>
  <c r="L182" i="21"/>
  <c r="J177" i="21"/>
  <c r="J164" i="21" s="1"/>
  <c r="I176" i="21"/>
  <c r="K176" i="21" s="1"/>
  <c r="J174" i="21"/>
  <c r="N173" i="21"/>
  <c r="N171" i="21" s="1"/>
  <c r="M173" i="21"/>
  <c r="L173" i="21"/>
  <c r="O173" i="21" s="1"/>
  <c r="P172" i="21"/>
  <c r="O172" i="21"/>
  <c r="M171" i="21"/>
  <c r="P171" i="21" s="1"/>
  <c r="L171" i="21"/>
  <c r="O171" i="21" s="1"/>
  <c r="N170" i="21"/>
  <c r="M170" i="21"/>
  <c r="P170" i="21" s="1"/>
  <c r="L170" i="21"/>
  <c r="P169" i="21"/>
  <c r="O169" i="21"/>
  <c r="N168" i="21"/>
  <c r="O166" i="21"/>
  <c r="N166" i="21"/>
  <c r="M166" i="21"/>
  <c r="P166" i="21" s="1"/>
  <c r="L166" i="21"/>
  <c r="I159" i="21"/>
  <c r="K159" i="21" s="1"/>
  <c r="P157" i="21"/>
  <c r="O157" i="21"/>
  <c r="N157" i="21"/>
  <c r="N155" i="21" s="1"/>
  <c r="M157" i="21"/>
  <c r="M155" i="21" s="1"/>
  <c r="P155" i="21" s="1"/>
  <c r="L157" i="21"/>
  <c r="L155" i="21" s="1"/>
  <c r="P156" i="21"/>
  <c r="O156" i="21"/>
  <c r="O155" i="21"/>
  <c r="P154" i="21"/>
  <c r="N154" i="21"/>
  <c r="M154" i="21"/>
  <c r="M151" i="21" s="1"/>
  <c r="P151" i="21" s="1"/>
  <c r="L154" i="21"/>
  <c r="L152" i="21" s="1"/>
  <c r="O152" i="21" s="1"/>
  <c r="P153" i="21"/>
  <c r="O153" i="21"/>
  <c r="N152" i="21"/>
  <c r="N151" i="21"/>
  <c r="N149" i="21" s="1"/>
  <c r="L151" i="21"/>
  <c r="O151" i="21" s="1"/>
  <c r="N150" i="21"/>
  <c r="M150" i="21"/>
  <c r="L150" i="21"/>
  <c r="O150" i="21" s="1"/>
  <c r="J148" i="21"/>
  <c r="I148" i="21"/>
  <c r="K148" i="21" s="1"/>
  <c r="K146" i="21"/>
  <c r="I146" i="21"/>
  <c r="I130" i="21" s="1"/>
  <c r="K130" i="21" s="1"/>
  <c r="I145" i="21"/>
  <c r="I144" i="21"/>
  <c r="K144" i="21" s="1"/>
  <c r="P140" i="21"/>
  <c r="O140" i="21"/>
  <c r="N140" i="21"/>
  <c r="M140" i="21"/>
  <c r="L140" i="21"/>
  <c r="P139" i="21"/>
  <c r="O139" i="21"/>
  <c r="P138" i="21"/>
  <c r="N138" i="21"/>
  <c r="M138" i="21"/>
  <c r="L138" i="21"/>
  <c r="O138" i="21" s="1"/>
  <c r="N137" i="21"/>
  <c r="N134" i="21" s="1"/>
  <c r="N132" i="21" s="1"/>
  <c r="M137" i="21"/>
  <c r="P137" i="21" s="1"/>
  <c r="L137" i="21"/>
  <c r="L134" i="21" s="1"/>
  <c r="O134" i="21" s="1"/>
  <c r="P136" i="21"/>
  <c r="O136" i="21"/>
  <c r="N135" i="21"/>
  <c r="M135" i="21"/>
  <c r="P135" i="21" s="1"/>
  <c r="L135" i="21"/>
  <c r="O135" i="21" s="1"/>
  <c r="P133" i="21"/>
  <c r="N133" i="21"/>
  <c r="M133" i="21"/>
  <c r="L133" i="21"/>
  <c r="O133" i="21" s="1"/>
  <c r="J130" i="21"/>
  <c r="O127" i="21"/>
  <c r="N127" i="21"/>
  <c r="N125" i="21" s="1"/>
  <c r="M127" i="21"/>
  <c r="P127" i="21" s="1"/>
  <c r="L127" i="21"/>
  <c r="L125" i="21" s="1"/>
  <c r="P126" i="21"/>
  <c r="O126" i="21"/>
  <c r="P125" i="21"/>
  <c r="O125" i="21"/>
  <c r="M125" i="21"/>
  <c r="N124" i="21"/>
  <c r="M124" i="21"/>
  <c r="M122" i="21" s="1"/>
  <c r="P122" i="21" s="1"/>
  <c r="L124" i="21"/>
  <c r="L122" i="21" s="1"/>
  <c r="P123" i="21"/>
  <c r="O123" i="21"/>
  <c r="O122" i="21"/>
  <c r="L121" i="21"/>
  <c r="L119" i="21" s="1"/>
  <c r="O119" i="21" s="1"/>
  <c r="O120" i="21"/>
  <c r="N120" i="21"/>
  <c r="M120" i="21"/>
  <c r="P120" i="21" s="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K103" i="21"/>
  <c r="I103" i="21"/>
  <c r="I102" i="21"/>
  <c r="K102" i="21" s="1"/>
  <c r="J100" i="21"/>
  <c r="I100" i="21"/>
  <c r="J99" i="21"/>
  <c r="I99" i="21"/>
  <c r="K99" i="21" s="1"/>
  <c r="J98" i="21"/>
  <c r="J86" i="21" s="1"/>
  <c r="I98" i="21"/>
  <c r="I86" i="21" s="1"/>
  <c r="N96" i="21"/>
  <c r="N94" i="21" s="1"/>
  <c r="M96" i="21"/>
  <c r="P96" i="21" s="1"/>
  <c r="L96" i="21"/>
  <c r="P95" i="21"/>
  <c r="O95" i="21"/>
  <c r="N93" i="21"/>
  <c r="M93" i="21"/>
  <c r="M91" i="21" s="1"/>
  <c r="L93" i="21"/>
  <c r="P92" i="21"/>
  <c r="O92" i="21"/>
  <c r="N90" i="21"/>
  <c r="M90" i="21"/>
  <c r="L90" i="21"/>
  <c r="P89" i="21"/>
  <c r="O89" i="21"/>
  <c r="N89" i="21"/>
  <c r="M89" i="21"/>
  <c r="L89" i="21"/>
  <c r="J87" i="21"/>
  <c r="I84" i="21"/>
  <c r="K84" i="21" s="1"/>
  <c r="I83" i="21"/>
  <c r="K83" i="21" s="1"/>
  <c r="I82" i="21"/>
  <c r="K82" i="21" s="1"/>
  <c r="I81" i="21"/>
  <c r="K81" i="21" s="1"/>
  <c r="K80" i="21"/>
  <c r="I80" i="21"/>
  <c r="I79" i="21"/>
  <c r="K79" i="21" s="1"/>
  <c r="I78" i="21"/>
  <c r="K78" i="21" s="1"/>
  <c r="J77" i="21"/>
  <c r="J65" i="21" s="1"/>
  <c r="J76" i="21"/>
  <c r="P74" i="21"/>
  <c r="N74" i="21"/>
  <c r="M74" i="21"/>
  <c r="M72" i="21" s="1"/>
  <c r="P72" i="21" s="1"/>
  <c r="L74" i="21"/>
  <c r="O74" i="21" s="1"/>
  <c r="P73" i="21"/>
  <c r="O73" i="21"/>
  <c r="N72" i="21"/>
  <c r="N71" i="21"/>
  <c r="O71" i="21" s="1"/>
  <c r="M71" i="21"/>
  <c r="M69" i="21" s="1"/>
  <c r="L71" i="21"/>
  <c r="L68" i="21" s="1"/>
  <c r="P70" i="21"/>
  <c r="O70" i="21"/>
  <c r="L69" i="21"/>
  <c r="P67" i="21"/>
  <c r="O67" i="21"/>
  <c r="N67" i="21"/>
  <c r="M67" i="21"/>
  <c r="L67" i="21"/>
  <c r="J64" i="21"/>
  <c r="N61" i="21"/>
  <c r="M61" i="21"/>
  <c r="M59" i="21" s="1"/>
  <c r="L61" i="21"/>
  <c r="P60" i="21"/>
  <c r="O60" i="21"/>
  <c r="L59" i="21"/>
  <c r="N58" i="21"/>
  <c r="N56" i="21" s="1"/>
  <c r="M58" i="21"/>
  <c r="M56" i="21" s="1"/>
  <c r="L58" i="21"/>
  <c r="L55" i="21" s="1"/>
  <c r="L53" i="21" s="1"/>
  <c r="P57" i="21"/>
  <c r="O57" i="21"/>
  <c r="L56" i="21"/>
  <c r="O56" i="21" s="1"/>
  <c r="N54" i="21"/>
  <c r="M54" i="21"/>
  <c r="L54" i="21"/>
  <c r="O54" i="21" s="1"/>
  <c r="N49" i="21"/>
  <c r="M49" i="21"/>
  <c r="M47" i="21" s="1"/>
  <c r="P47" i="21" s="1"/>
  <c r="L49" i="21"/>
  <c r="O49" i="21" s="1"/>
  <c r="P48" i="21"/>
  <c r="O48" i="21"/>
  <c r="N47" i="21"/>
  <c r="N46" i="21"/>
  <c r="O46" i="21" s="1"/>
  <c r="M46" i="21"/>
  <c r="M44" i="21" s="1"/>
  <c r="L46" i="21"/>
  <c r="L43" i="21" s="1"/>
  <c r="P45" i="21"/>
  <c r="O45" i="21"/>
  <c r="L44" i="21"/>
  <c r="P42" i="21"/>
  <c r="O42" i="21"/>
  <c r="N42" i="21"/>
  <c r="M42" i="21"/>
  <c r="L42" i="21"/>
  <c r="N36" i="21"/>
  <c r="M36" i="21"/>
  <c r="P35" i="21"/>
  <c r="N35" i="21"/>
  <c r="N34" i="21" s="1"/>
  <c r="M35" i="21"/>
  <c r="L35" i="21"/>
  <c r="N33" i="21"/>
  <c r="N30" i="21" s="1"/>
  <c r="O32" i="21"/>
  <c r="N32" i="21"/>
  <c r="N29" i="21" s="1"/>
  <c r="N28" i="21" s="1"/>
  <c r="M32" i="21"/>
  <c r="P32" i="21" s="1"/>
  <c r="L32" i="21"/>
  <c r="N31" i="21"/>
  <c r="L29" i="21"/>
  <c r="O25" i="21"/>
  <c r="N25" i="21"/>
  <c r="M25" i="21"/>
  <c r="P25" i="21" s="1"/>
  <c r="L25" i="21"/>
  <c r="P22" i="21"/>
  <c r="N22" i="21"/>
  <c r="M22" i="21"/>
  <c r="L22" i="21"/>
  <c r="N19" i="21"/>
  <c r="M19" i="21"/>
  <c r="P19" i="21" s="1"/>
  <c r="N15" i="21"/>
  <c r="N12" i="21"/>
  <c r="N9" i="21" s="1"/>
  <c r="M12" i="21"/>
  <c r="P12" i="21" s="1"/>
  <c r="J828" i="20"/>
  <c r="I828" i="20"/>
  <c r="J827" i="20"/>
  <c r="I827" i="20"/>
  <c r="K827" i="20" s="1"/>
  <c r="J826" i="20"/>
  <c r="I826" i="20"/>
  <c r="J825" i="20"/>
  <c r="I825" i="20"/>
  <c r="J824" i="20"/>
  <c r="I824" i="20"/>
  <c r="K824" i="20" s="1"/>
  <c r="J823" i="20"/>
  <c r="I823" i="20"/>
  <c r="J822" i="20"/>
  <c r="I822" i="20"/>
  <c r="J821" i="20"/>
  <c r="I821" i="20"/>
  <c r="K821" i="20" s="1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P809" i="20"/>
  <c r="O809" i="20"/>
  <c r="P808" i="20"/>
  <c r="N808" i="20"/>
  <c r="M808" i="20"/>
  <c r="L808" i="20"/>
  <c r="O808" i="20" s="1"/>
  <c r="O807" i="20"/>
  <c r="N807" i="20"/>
  <c r="M807" i="20"/>
  <c r="L807" i="20"/>
  <c r="P806" i="20"/>
  <c r="N806" i="20"/>
  <c r="M806" i="20"/>
  <c r="L806" i="20"/>
  <c r="N805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O791" i="20" s="1"/>
  <c r="P790" i="20"/>
  <c r="O790" i="20"/>
  <c r="P789" i="20"/>
  <c r="N789" i="20"/>
  <c r="M789" i="20"/>
  <c r="L789" i="20"/>
  <c r="O789" i="20" s="1"/>
  <c r="M788" i="20"/>
  <c r="P787" i="20"/>
  <c r="N787" i="20"/>
  <c r="M787" i="20"/>
  <c r="L787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N773" i="20" s="1"/>
  <c r="P774" i="20"/>
  <c r="O774" i="20"/>
  <c r="O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N757" i="20" s="1"/>
  <c r="P758" i="20"/>
  <c r="O758" i="20"/>
  <c r="O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N740" i="20" s="1"/>
  <c r="P741" i="20"/>
  <c r="O741" i="20"/>
  <c r="O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J722" i="20" s="1"/>
  <c r="I725" i="20"/>
  <c r="J724" i="20"/>
  <c r="J723" i="20"/>
  <c r="J721" i="20" s="1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K699" i="20" s="1"/>
  <c r="I699" i="20"/>
  <c r="P697" i="20"/>
  <c r="O697" i="20"/>
  <c r="P696" i="20"/>
  <c r="O696" i="20"/>
  <c r="O695" i="20"/>
  <c r="N695" i="20"/>
  <c r="M695" i="20"/>
  <c r="P695" i="20" s="1"/>
  <c r="L695" i="20"/>
  <c r="N694" i="20"/>
  <c r="N690" i="20" s="1"/>
  <c r="L690" i="20"/>
  <c r="M690" i="20" s="1"/>
  <c r="P690" i="20" s="1"/>
  <c r="L687" i="20"/>
  <c r="P686" i="20"/>
  <c r="N686" i="20"/>
  <c r="M686" i="20"/>
  <c r="L686" i="20"/>
  <c r="J679" i="20"/>
  <c r="J678" i="20"/>
  <c r="I678" i="20"/>
  <c r="K678" i="20" s="1"/>
  <c r="J675" i="20"/>
  <c r="I671" i="20"/>
  <c r="K671" i="20" s="1"/>
  <c r="I670" i="20"/>
  <c r="K670" i="20" s="1"/>
  <c r="J669" i="20"/>
  <c r="I669" i="20"/>
  <c r="P667" i="20"/>
  <c r="O667" i="20"/>
  <c r="P666" i="20"/>
  <c r="O666" i="20"/>
  <c r="P665" i="20"/>
  <c r="N665" i="20"/>
  <c r="M665" i="20"/>
  <c r="L665" i="20"/>
  <c r="O665" i="20" s="1"/>
  <c r="P660" i="20"/>
  <c r="N660" i="20"/>
  <c r="L660" i="20"/>
  <c r="L657" i="20" s="1"/>
  <c r="P659" i="20"/>
  <c r="O659" i="20"/>
  <c r="N658" i="20"/>
  <c r="M658" i="20"/>
  <c r="P658" i="20" s="1"/>
  <c r="P657" i="20"/>
  <c r="N657" i="20"/>
  <c r="M657" i="20"/>
  <c r="O656" i="20"/>
  <c r="N656" i="20"/>
  <c r="N655" i="20" s="1"/>
  <c r="M656" i="20"/>
  <c r="P656" i="20" s="1"/>
  <c r="L656" i="20"/>
  <c r="P655" i="20"/>
  <c r="M655" i="20"/>
  <c r="J654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N638" i="20"/>
  <c r="N634" i="20"/>
  <c r="L634" i="20"/>
  <c r="O634" i="20" s="1"/>
  <c r="P633" i="20"/>
  <c r="O633" i="20"/>
  <c r="N632" i="20"/>
  <c r="N631" i="20"/>
  <c r="O630" i="20"/>
  <c r="N630" i="20"/>
  <c r="M630" i="20"/>
  <c r="L630" i="20"/>
  <c r="N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J593" i="20" s="1"/>
  <c r="J592" i="20" s="1"/>
  <c r="I594" i="20"/>
  <c r="K594" i="20" s="1"/>
  <c r="I593" i="20"/>
  <c r="K593" i="20" s="1"/>
  <c r="J583" i="20"/>
  <c r="J582" i="20"/>
  <c r="J576" i="20" s="1"/>
  <c r="J559" i="20" s="1"/>
  <c r="J543" i="20" s="1"/>
  <c r="J577" i="20"/>
  <c r="I577" i="20"/>
  <c r="K577" i="20" s="1"/>
  <c r="I576" i="20"/>
  <c r="I559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O557" i="20" s="1"/>
  <c r="P556" i="20"/>
  <c r="O556" i="20"/>
  <c r="N555" i="20"/>
  <c r="M555" i="20"/>
  <c r="M545" i="20" s="1"/>
  <c r="P545" i="20" s="1"/>
  <c r="N553" i="20"/>
  <c r="N549" i="20" s="1"/>
  <c r="L549" i="20"/>
  <c r="M549" i="20" s="1"/>
  <c r="P548" i="20"/>
  <c r="O548" i="20"/>
  <c r="N545" i="20"/>
  <c r="L545" i="20"/>
  <c r="I542" i="20"/>
  <c r="K542" i="20" s="1"/>
  <c r="I541" i="20"/>
  <c r="K541" i="20" s="1"/>
  <c r="I540" i="20"/>
  <c r="K540" i="20" s="1"/>
  <c r="I539" i="20"/>
  <c r="I538" i="20"/>
  <c r="K538" i="20" s="1"/>
  <c r="I537" i="20"/>
  <c r="K537" i="20" s="1"/>
  <c r="P535" i="20"/>
  <c r="L535" i="20"/>
  <c r="O535" i="20" s="1"/>
  <c r="P534" i="20"/>
  <c r="O534" i="20"/>
  <c r="N533" i="20"/>
  <c r="M533" i="20"/>
  <c r="P533" i="20" s="1"/>
  <c r="L533" i="20"/>
  <c r="O533" i="20" s="1"/>
  <c r="P528" i="20"/>
  <c r="N528" i="20"/>
  <c r="N525" i="20" s="1"/>
  <c r="N523" i="20" s="1"/>
  <c r="L528" i="20"/>
  <c r="O528" i="20" s="1"/>
  <c r="P527" i="20"/>
  <c r="O527" i="20"/>
  <c r="P526" i="20"/>
  <c r="N526" i="20"/>
  <c r="M526" i="20"/>
  <c r="L526" i="20"/>
  <c r="O526" i="20" s="1"/>
  <c r="M525" i="20"/>
  <c r="P524" i="20"/>
  <c r="N524" i="20"/>
  <c r="M524" i="20"/>
  <c r="L524" i="20"/>
  <c r="K517" i="20"/>
  <c r="J517" i="20"/>
  <c r="J501" i="20" s="1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P505" i="20"/>
  <c r="N505" i="20"/>
  <c r="M505" i="20"/>
  <c r="L505" i="20"/>
  <c r="O505" i="20" s="1"/>
  <c r="O504" i="20"/>
  <c r="N504" i="20"/>
  <c r="M504" i="20"/>
  <c r="P504" i="20" s="1"/>
  <c r="L504" i="20"/>
  <c r="P503" i="20"/>
  <c r="N503" i="20"/>
  <c r="N502" i="20" s="1"/>
  <c r="M503" i="20"/>
  <c r="M502" i="20" s="1"/>
  <c r="P502" i="20" s="1"/>
  <c r="L503" i="20"/>
  <c r="O503" i="20" s="1"/>
  <c r="O502" i="20"/>
  <c r="L502" i="20"/>
  <c r="K501" i="20"/>
  <c r="K500" i="20"/>
  <c r="J500" i="20"/>
  <c r="I498" i="20"/>
  <c r="K498" i="20" s="1"/>
  <c r="K495" i="20"/>
  <c r="I495" i="20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N476" i="20"/>
  <c r="N472" i="20" s="1"/>
  <c r="N33" i="20" s="1"/>
  <c r="N31" i="20" s="1"/>
  <c r="L472" i="20"/>
  <c r="M472" i="20" s="1"/>
  <c r="M469" i="20" s="1"/>
  <c r="P471" i="20"/>
  <c r="O471" i="20"/>
  <c r="P468" i="20"/>
  <c r="N468" i="20"/>
  <c r="M468" i="20"/>
  <c r="L468" i="20"/>
  <c r="J466" i="20"/>
  <c r="I466" i="20"/>
  <c r="K466" i="20" s="1"/>
  <c r="J465" i="20"/>
  <c r="K465" i="20" s="1"/>
  <c r="I465" i="20"/>
  <c r="I464" i="20"/>
  <c r="K464" i="20" s="1"/>
  <c r="I463" i="20"/>
  <c r="K463" i="20" s="1"/>
  <c r="I462" i="20"/>
  <c r="K462" i="20" s="1"/>
  <c r="I460" i="20"/>
  <c r="K460" i="20" s="1"/>
  <c r="K458" i="20"/>
  <c r="P456" i="20"/>
  <c r="L456" i="20"/>
  <c r="P455" i="20"/>
  <c r="O455" i="20"/>
  <c r="P454" i="20"/>
  <c r="N454" i="20"/>
  <c r="M454" i="20"/>
  <c r="L454" i="20"/>
  <c r="O454" i="20" s="1"/>
  <c r="N453" i="20"/>
  <c r="N450" i="20"/>
  <c r="N449" i="20" s="1"/>
  <c r="L449" i="20"/>
  <c r="L447" i="20" s="1"/>
  <c r="P448" i="20"/>
  <c r="O448" i="20"/>
  <c r="N447" i="20"/>
  <c r="P445" i="20"/>
  <c r="N445" i="20"/>
  <c r="M445" i="20"/>
  <c r="L445" i="20"/>
  <c r="J443" i="20"/>
  <c r="J442" i="20"/>
  <c r="I441" i="20"/>
  <c r="K441" i="20" s="1"/>
  <c r="I440" i="20"/>
  <c r="K440" i="20" s="1"/>
  <c r="K439" i="20"/>
  <c r="I439" i="20"/>
  <c r="I438" i="20"/>
  <c r="K438" i="20" s="1"/>
  <c r="I437" i="20"/>
  <c r="K437" i="20" s="1"/>
  <c r="I435" i="20"/>
  <c r="K435" i="20" s="1"/>
  <c r="J434" i="20"/>
  <c r="P431" i="20"/>
  <c r="L431" i="20"/>
  <c r="O431" i="20" s="1"/>
  <c r="P430" i="20"/>
  <c r="O430" i="20"/>
  <c r="O429" i="20"/>
  <c r="N429" i="20"/>
  <c r="M429" i="20"/>
  <c r="P429" i="20" s="1"/>
  <c r="L429" i="20"/>
  <c r="N428" i="20"/>
  <c r="N424" i="20" s="1"/>
  <c r="L424" i="20"/>
  <c r="P423" i="20"/>
  <c r="O423" i="20"/>
  <c r="P420" i="20"/>
  <c r="N420" i="20"/>
  <c r="M420" i="20"/>
  <c r="L420" i="20"/>
  <c r="J418" i="20"/>
  <c r="K413" i="20"/>
  <c r="K412" i="20"/>
  <c r="N410" i="20"/>
  <c r="N408" i="20" s="1"/>
  <c r="M410" i="20"/>
  <c r="M408" i="20" s="1"/>
  <c r="P408" i="20" s="1"/>
  <c r="L410" i="20"/>
  <c r="O410" i="20" s="1"/>
  <c r="P409" i="20"/>
  <c r="O409" i="20"/>
  <c r="N407" i="20"/>
  <c r="M407" i="20"/>
  <c r="M405" i="20" s="1"/>
  <c r="P405" i="20" s="1"/>
  <c r="L407" i="20"/>
  <c r="O407" i="20" s="1"/>
  <c r="P406" i="20"/>
  <c r="O406" i="20"/>
  <c r="P403" i="20"/>
  <c r="N403" i="20"/>
  <c r="M403" i="20"/>
  <c r="L403" i="20"/>
  <c r="K401" i="20"/>
  <c r="J401" i="20"/>
  <c r="I401" i="20"/>
  <c r="K400" i="20"/>
  <c r="K399" i="20"/>
  <c r="N397" i="20"/>
  <c r="M397" i="20"/>
  <c r="P397" i="20" s="1"/>
  <c r="L397" i="20"/>
  <c r="P396" i="20"/>
  <c r="O396" i="20"/>
  <c r="N395" i="20"/>
  <c r="N394" i="20"/>
  <c r="M394" i="20"/>
  <c r="P394" i="20" s="1"/>
  <c r="L394" i="20"/>
  <c r="L392" i="20" s="1"/>
  <c r="O392" i="20" s="1"/>
  <c r="P393" i="20"/>
  <c r="O393" i="20"/>
  <c r="P390" i="20"/>
  <c r="N390" i="20"/>
  <c r="M390" i="20"/>
  <c r="L390" i="20"/>
  <c r="J388" i="20"/>
  <c r="I388" i="20"/>
  <c r="K388" i="20" s="1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K365" i="20" s="1"/>
  <c r="I372" i="20"/>
  <c r="K371" i="20"/>
  <c r="J371" i="20"/>
  <c r="J370" i="20"/>
  <c r="I370" i="20"/>
  <c r="J369" i="20"/>
  <c r="K369" i="20" s="1"/>
  <c r="I369" i="20"/>
  <c r="K368" i="20"/>
  <c r="J368" i="20"/>
  <c r="I365" i="20"/>
  <c r="I364" i="20"/>
  <c r="K363" i="20"/>
  <c r="J363" i="20"/>
  <c r="J362" i="20"/>
  <c r="J355" i="20" s="1"/>
  <c r="I362" i="20"/>
  <c r="K361" i="20"/>
  <c r="J361" i="20"/>
  <c r="J360" i="20"/>
  <c r="I360" i="20"/>
  <c r="J359" i="20"/>
  <c r="K359" i="20" s="1"/>
  <c r="I359" i="20"/>
  <c r="K358" i="20"/>
  <c r="J358" i="20"/>
  <c r="I355" i="20"/>
  <c r="N353" i="20"/>
  <c r="M353" i="20"/>
  <c r="L353" i="20"/>
  <c r="L351" i="20" s="1"/>
  <c r="P352" i="20"/>
  <c r="O352" i="20"/>
  <c r="N351" i="20"/>
  <c r="M351" i="20"/>
  <c r="N350" i="20"/>
  <c r="M350" i="20"/>
  <c r="M348" i="20" s="1"/>
  <c r="L350" i="20"/>
  <c r="L348" i="20" s="1"/>
  <c r="P349" i="20"/>
  <c r="O349" i="20"/>
  <c r="P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L336" i="20"/>
  <c r="L334" i="20" s="1"/>
  <c r="O334" i="20" s="1"/>
  <c r="P335" i="20"/>
  <c r="O335" i="20"/>
  <c r="N333" i="20"/>
  <c r="N331" i="20" s="1"/>
  <c r="M333" i="20"/>
  <c r="M331" i="20" s="1"/>
  <c r="L333" i="20"/>
  <c r="P332" i="20"/>
  <c r="O332" i="20"/>
  <c r="M330" i="20"/>
  <c r="M328" i="20" s="1"/>
  <c r="P329" i="20"/>
  <c r="N329" i="20"/>
  <c r="M329" i="20"/>
  <c r="L329" i="20"/>
  <c r="O329" i="20" s="1"/>
  <c r="I327" i="20"/>
  <c r="I325" i="20"/>
  <c r="K325" i="20" s="1"/>
  <c r="N323" i="20"/>
  <c r="M323" i="20"/>
  <c r="P323" i="20" s="1"/>
  <c r="L323" i="20"/>
  <c r="L321" i="20" s="1"/>
  <c r="O321" i="20" s="1"/>
  <c r="P322" i="20"/>
  <c r="O322" i="20"/>
  <c r="N321" i="20"/>
  <c r="N320" i="20"/>
  <c r="N317" i="20" s="1"/>
  <c r="N315" i="20" s="1"/>
  <c r="M320" i="20"/>
  <c r="P320" i="20" s="1"/>
  <c r="L320" i="20"/>
  <c r="L318" i="20" s="1"/>
  <c r="O318" i="20" s="1"/>
  <c r="P319" i="20"/>
  <c r="O319" i="20"/>
  <c r="M318" i="20"/>
  <c r="P318" i="20" s="1"/>
  <c r="P316" i="20"/>
  <c r="O316" i="20"/>
  <c r="N316" i="20"/>
  <c r="M316" i="20"/>
  <c r="L316" i="20"/>
  <c r="J314" i="20"/>
  <c r="K312" i="20"/>
  <c r="I312" i="20"/>
  <c r="I311" i="20"/>
  <c r="K311" i="20" s="1"/>
  <c r="I310" i="20"/>
  <c r="K310" i="20" s="1"/>
  <c r="I309" i="20"/>
  <c r="N306" i="20"/>
  <c r="N304" i="20" s="1"/>
  <c r="M306" i="20"/>
  <c r="L306" i="20"/>
  <c r="O306" i="20" s="1"/>
  <c r="P305" i="20"/>
  <c r="O305" i="20"/>
  <c r="N303" i="20"/>
  <c r="M303" i="20"/>
  <c r="M301" i="20" s="1"/>
  <c r="L303" i="20"/>
  <c r="P302" i="20"/>
  <c r="O302" i="20"/>
  <c r="P299" i="20"/>
  <c r="N299" i="20"/>
  <c r="M299" i="20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K287" i="20" s="1"/>
  <c r="N285" i="20"/>
  <c r="N283" i="20" s="1"/>
  <c r="M285" i="20"/>
  <c r="M283" i="20" s="1"/>
  <c r="P283" i="20" s="1"/>
  <c r="L285" i="20"/>
  <c r="L283" i="20" s="1"/>
  <c r="O283" i="20" s="1"/>
  <c r="P284" i="20"/>
  <c r="O284" i="20"/>
  <c r="N282" i="20"/>
  <c r="N280" i="20" s="1"/>
  <c r="M282" i="20"/>
  <c r="L282" i="20"/>
  <c r="P281" i="20"/>
  <c r="O281" i="20"/>
  <c r="N279" i="20"/>
  <c r="N277" i="20" s="1"/>
  <c r="N278" i="20"/>
  <c r="M278" i="20"/>
  <c r="P278" i="20" s="1"/>
  <c r="L278" i="20"/>
  <c r="O278" i="20" s="1"/>
  <c r="J276" i="20"/>
  <c r="I276" i="20"/>
  <c r="I271" i="20"/>
  <c r="K271" i="20" s="1"/>
  <c r="O269" i="20"/>
  <c r="N269" i="20"/>
  <c r="N267" i="20" s="1"/>
  <c r="M269" i="20"/>
  <c r="P269" i="20" s="1"/>
  <c r="L269" i="20"/>
  <c r="P268" i="20"/>
  <c r="O268" i="20"/>
  <c r="L267" i="20"/>
  <c r="O267" i="20" s="1"/>
  <c r="N266" i="20"/>
  <c r="N264" i="20" s="1"/>
  <c r="M266" i="20"/>
  <c r="L266" i="20"/>
  <c r="P265" i="20"/>
  <c r="O265" i="20"/>
  <c r="P262" i="20"/>
  <c r="N262" i="20"/>
  <c r="M262" i="20"/>
  <c r="L262" i="20"/>
  <c r="O262" i="20" s="1"/>
  <c r="J260" i="20"/>
  <c r="I260" i="20"/>
  <c r="K260" i="20" s="1"/>
  <c r="K258" i="20"/>
  <c r="K257" i="20"/>
  <c r="K255" i="20"/>
  <c r="I255" i="20"/>
  <c r="L253" i="20"/>
  <c r="L252" i="20"/>
  <c r="L251" i="20"/>
  <c r="L250" i="20"/>
  <c r="P249" i="20"/>
  <c r="N249" i="20"/>
  <c r="J248" i="20"/>
  <c r="I248" i="20"/>
  <c r="K248" i="20" s="1"/>
  <c r="K247" i="20"/>
  <c r="K246" i="20"/>
  <c r="I244" i="20"/>
  <c r="I237" i="20" s="1"/>
  <c r="L242" i="20"/>
  <c r="L241" i="20"/>
  <c r="L240" i="20"/>
  <c r="L229" i="20" s="1"/>
  <c r="L239" i="20"/>
  <c r="P238" i="20"/>
  <c r="N238" i="20"/>
  <c r="J237" i="20"/>
  <c r="J236" i="20"/>
  <c r="I236" i="20"/>
  <c r="K236" i="20" s="1"/>
  <c r="J235" i="20"/>
  <c r="I235" i="20"/>
  <c r="K235" i="20" s="1"/>
  <c r="J233" i="20"/>
  <c r="N231" i="20"/>
  <c r="N230" i="20"/>
  <c r="N229" i="20"/>
  <c r="N228" i="20"/>
  <c r="N227" i="20"/>
  <c r="J226" i="20"/>
  <c r="J180" i="20" s="1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I208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L202" i="20"/>
  <c r="L201" i="20"/>
  <c r="L200" i="20"/>
  <c r="L199" i="20"/>
  <c r="P198" i="20"/>
  <c r="N198" i="20"/>
  <c r="J197" i="20"/>
  <c r="J195" i="20"/>
  <c r="J194" i="20"/>
  <c r="I193" i="20"/>
  <c r="K193" i="20" s="1"/>
  <c r="P191" i="20"/>
  <c r="L191" i="20"/>
  <c r="O191" i="20" s="1"/>
  <c r="J190" i="20"/>
  <c r="N189" i="20"/>
  <c r="N187" i="20" s="1"/>
  <c r="M189" i="20"/>
  <c r="L189" i="20"/>
  <c r="O189" i="20" s="1"/>
  <c r="P188" i="20"/>
  <c r="O188" i="20"/>
  <c r="N186" i="20"/>
  <c r="N184" i="20" s="1"/>
  <c r="M186" i="20"/>
  <c r="M184" i="20" s="1"/>
  <c r="L186" i="20"/>
  <c r="L184" i="20" s="1"/>
  <c r="P185" i="20"/>
  <c r="O185" i="20"/>
  <c r="P182" i="20"/>
  <c r="N182" i="20"/>
  <c r="M182" i="20"/>
  <c r="L182" i="20"/>
  <c r="J177" i="20"/>
  <c r="J164" i="20" s="1"/>
  <c r="I176" i="20"/>
  <c r="K176" i="20" s="1"/>
  <c r="J174" i="20"/>
  <c r="N173" i="20"/>
  <c r="N171" i="20" s="1"/>
  <c r="M173" i="20"/>
  <c r="M171" i="20" s="1"/>
  <c r="P171" i="20" s="1"/>
  <c r="L173" i="20"/>
  <c r="O173" i="20" s="1"/>
  <c r="P172" i="20"/>
  <c r="O172" i="20"/>
  <c r="N170" i="20"/>
  <c r="P170" i="20" s="1"/>
  <c r="M170" i="20"/>
  <c r="M168" i="20" s="1"/>
  <c r="L170" i="20"/>
  <c r="P169" i="20"/>
  <c r="O169" i="20"/>
  <c r="N166" i="20"/>
  <c r="M166" i="20"/>
  <c r="L166" i="20"/>
  <c r="O166" i="20" s="1"/>
  <c r="I159" i="20"/>
  <c r="K159" i="20" s="1"/>
  <c r="N157" i="20"/>
  <c r="N155" i="20" s="1"/>
  <c r="M157" i="20"/>
  <c r="M155" i="20" s="1"/>
  <c r="P155" i="20" s="1"/>
  <c r="L157" i="20"/>
  <c r="L155" i="20" s="1"/>
  <c r="O155" i="20" s="1"/>
  <c r="P156" i="20"/>
  <c r="O156" i="20"/>
  <c r="N154" i="20"/>
  <c r="N151" i="20" s="1"/>
  <c r="N149" i="20" s="1"/>
  <c r="M154" i="20"/>
  <c r="L154" i="20"/>
  <c r="L152" i="20" s="1"/>
  <c r="P153" i="20"/>
  <c r="O153" i="20"/>
  <c r="N150" i="20"/>
  <c r="M150" i="20"/>
  <c r="P150" i="20" s="1"/>
  <c r="L150" i="20"/>
  <c r="O150" i="20" s="1"/>
  <c r="J148" i="20"/>
  <c r="I146" i="20"/>
  <c r="I130" i="20" s="1"/>
  <c r="K130" i="20" s="1"/>
  <c r="I145" i="20"/>
  <c r="I144" i="20"/>
  <c r="N140" i="20"/>
  <c r="N138" i="20" s="1"/>
  <c r="M140" i="20"/>
  <c r="M138" i="20" s="1"/>
  <c r="P138" i="20" s="1"/>
  <c r="L140" i="20"/>
  <c r="L138" i="20" s="1"/>
  <c r="O138" i="20" s="1"/>
  <c r="P139" i="20"/>
  <c r="O139" i="20"/>
  <c r="N137" i="20"/>
  <c r="N134" i="20" s="1"/>
  <c r="M137" i="20"/>
  <c r="P137" i="20" s="1"/>
  <c r="L137" i="20"/>
  <c r="L135" i="20" s="1"/>
  <c r="O135" i="20" s="1"/>
  <c r="P136" i="20"/>
  <c r="O136" i="20"/>
  <c r="M135" i="20"/>
  <c r="P135" i="20" s="1"/>
  <c r="P133" i="20"/>
  <c r="N133" i="20"/>
  <c r="M133" i="20"/>
  <c r="L133" i="20"/>
  <c r="O133" i="20" s="1"/>
  <c r="J130" i="20"/>
  <c r="N127" i="20"/>
  <c r="N125" i="20" s="1"/>
  <c r="M127" i="20"/>
  <c r="M125" i="20" s="1"/>
  <c r="P125" i="20" s="1"/>
  <c r="L127" i="20"/>
  <c r="L125" i="20" s="1"/>
  <c r="O125" i="20" s="1"/>
  <c r="P126" i="20"/>
  <c r="O126" i="20"/>
  <c r="N124" i="20"/>
  <c r="N122" i="20" s="1"/>
  <c r="M124" i="20"/>
  <c r="M122" i="20" s="1"/>
  <c r="P122" i="20" s="1"/>
  <c r="L124" i="20"/>
  <c r="L122" i="20" s="1"/>
  <c r="O122" i="20" s="1"/>
  <c r="P123" i="20"/>
  <c r="O123" i="20"/>
  <c r="N120" i="20"/>
  <c r="M120" i="20"/>
  <c r="P120" i="20" s="1"/>
  <c r="L120" i="20"/>
  <c r="I116" i="20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I99" i="20"/>
  <c r="K99" i="20" s="1"/>
  <c r="J98" i="20"/>
  <c r="J86" i="20" s="1"/>
  <c r="I98" i="20"/>
  <c r="N96" i="20"/>
  <c r="N94" i="20" s="1"/>
  <c r="M96" i="20"/>
  <c r="P96" i="20" s="1"/>
  <c r="L96" i="20"/>
  <c r="O96" i="20" s="1"/>
  <c r="P95" i="20"/>
  <c r="O95" i="20"/>
  <c r="M94" i="20"/>
  <c r="P94" i="20" s="1"/>
  <c r="N93" i="20"/>
  <c r="N90" i="20" s="1"/>
  <c r="N88" i="20" s="1"/>
  <c r="M93" i="20"/>
  <c r="M91" i="20" s="1"/>
  <c r="L93" i="20"/>
  <c r="L91" i="20" s="1"/>
  <c r="P92" i="20"/>
  <c r="O92" i="20"/>
  <c r="P89" i="20"/>
  <c r="O89" i="20"/>
  <c r="N89" i="20"/>
  <c r="M89" i="20"/>
  <c r="L89" i="20"/>
  <c r="J87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76" i="20"/>
  <c r="J64" i="20" s="1"/>
  <c r="N74" i="20"/>
  <c r="N72" i="20" s="1"/>
  <c r="M74" i="20"/>
  <c r="M72" i="20" s="1"/>
  <c r="P72" i="20" s="1"/>
  <c r="L74" i="20"/>
  <c r="O74" i="20" s="1"/>
  <c r="P73" i="20"/>
  <c r="O73" i="20"/>
  <c r="L72" i="20"/>
  <c r="O72" i="20" s="1"/>
  <c r="N71" i="20"/>
  <c r="N69" i="20" s="1"/>
  <c r="M71" i="20"/>
  <c r="M69" i="20" s="1"/>
  <c r="L71" i="20"/>
  <c r="L68" i="20" s="1"/>
  <c r="L66" i="20" s="1"/>
  <c r="P70" i="20"/>
  <c r="O70" i="20"/>
  <c r="L69" i="20"/>
  <c r="N67" i="20"/>
  <c r="M67" i="20"/>
  <c r="L67" i="20"/>
  <c r="O67" i="20" s="1"/>
  <c r="J65" i="20"/>
  <c r="N61" i="20"/>
  <c r="N59" i="20" s="1"/>
  <c r="M61" i="20"/>
  <c r="M59" i="20" s="1"/>
  <c r="P59" i="20" s="1"/>
  <c r="L61" i="20"/>
  <c r="O61" i="20" s="1"/>
  <c r="P60" i="20"/>
  <c r="O60" i="20"/>
  <c r="N58" i="20"/>
  <c r="N56" i="20" s="1"/>
  <c r="M58" i="20"/>
  <c r="M56" i="20" s="1"/>
  <c r="L58" i="20"/>
  <c r="O58" i="20" s="1"/>
  <c r="P57" i="20"/>
  <c r="O57" i="20"/>
  <c r="P54" i="20"/>
  <c r="O54" i="20"/>
  <c r="N54" i="20"/>
  <c r="M54" i="20"/>
  <c r="L54" i="20"/>
  <c r="N49" i="20"/>
  <c r="M49" i="20"/>
  <c r="L49" i="20"/>
  <c r="O49" i="20" s="1"/>
  <c r="P48" i="20"/>
  <c r="O48" i="20"/>
  <c r="N47" i="20"/>
  <c r="N46" i="20"/>
  <c r="N44" i="20" s="1"/>
  <c r="M46" i="20"/>
  <c r="L46" i="20"/>
  <c r="L43" i="20" s="1"/>
  <c r="P45" i="20"/>
  <c r="O45" i="20"/>
  <c r="M44" i="20"/>
  <c r="N42" i="20"/>
  <c r="M42" i="20"/>
  <c r="L42" i="20"/>
  <c r="O42" i="20" s="1"/>
  <c r="P36" i="20"/>
  <c r="N36" i="20"/>
  <c r="M36" i="20"/>
  <c r="O35" i="20"/>
  <c r="N35" i="20"/>
  <c r="N34" i="20" s="1"/>
  <c r="M35" i="20"/>
  <c r="P35" i="20" s="1"/>
  <c r="L35" i="20"/>
  <c r="P32" i="20"/>
  <c r="N32" i="20"/>
  <c r="M32" i="20"/>
  <c r="L32" i="20"/>
  <c r="N30" i="20"/>
  <c r="L29" i="20"/>
  <c r="O29" i="20" s="1"/>
  <c r="P25" i="20"/>
  <c r="N25" i="20"/>
  <c r="M25" i="20"/>
  <c r="L25" i="20"/>
  <c r="O22" i="20"/>
  <c r="N22" i="20"/>
  <c r="M22" i="20"/>
  <c r="L22" i="20"/>
  <c r="O19" i="20"/>
  <c r="L19" i="20"/>
  <c r="L15" i="20"/>
  <c r="O15" i="20" s="1"/>
  <c r="L12" i="20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P809" i="19"/>
  <c r="O809" i="19"/>
  <c r="O808" i="19"/>
  <c r="N808" i="19"/>
  <c r="M808" i="19"/>
  <c r="P808" i="19" s="1"/>
  <c r="L808" i="19"/>
  <c r="P807" i="19"/>
  <c r="N807" i="19"/>
  <c r="N805" i="19" s="1"/>
  <c r="M807" i="19"/>
  <c r="L807" i="19"/>
  <c r="O807" i="19" s="1"/>
  <c r="O806" i="19"/>
  <c r="N806" i="19"/>
  <c r="M806" i="19"/>
  <c r="L806" i="19"/>
  <c r="L805" i="19" s="1"/>
  <c r="O805" i="19" s="1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N796" i="19"/>
  <c r="M796" i="19"/>
  <c r="L796" i="19"/>
  <c r="O796" i="19" s="1"/>
  <c r="P791" i="19"/>
  <c r="N791" i="19"/>
  <c r="N789" i="19" s="1"/>
  <c r="L791" i="19"/>
  <c r="P790" i="19"/>
  <c r="O790" i="19"/>
  <c r="M789" i="19"/>
  <c r="P789" i="19" s="1"/>
  <c r="P788" i="19"/>
  <c r="N788" i="19"/>
  <c r="M788" i="19"/>
  <c r="N787" i="19"/>
  <c r="M787" i="19"/>
  <c r="L787" i="19"/>
  <c r="N786" i="19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N773" i="19" s="1"/>
  <c r="P774" i="19"/>
  <c r="O774" i="19"/>
  <c r="P773" i="19"/>
  <c r="O773" i="19"/>
  <c r="M773" i="19"/>
  <c r="L773" i="19"/>
  <c r="O772" i="19"/>
  <c r="N772" i="19"/>
  <c r="M772" i="19"/>
  <c r="P772" i="19" s="1"/>
  <c r="L772" i="19"/>
  <c r="P771" i="19"/>
  <c r="N771" i="19"/>
  <c r="N770" i="19" s="1"/>
  <c r="M771" i="19"/>
  <c r="L771" i="19"/>
  <c r="O771" i="19" s="1"/>
  <c r="M770" i="19"/>
  <c r="P770" i="19" s="1"/>
  <c r="L770" i="19"/>
  <c r="O770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N757" i="19" s="1"/>
  <c r="P758" i="19"/>
  <c r="O758" i="19"/>
  <c r="P757" i="19"/>
  <c r="O757" i="19"/>
  <c r="M757" i="19"/>
  <c r="L757" i="19"/>
  <c r="O756" i="19"/>
  <c r="N756" i="19"/>
  <c r="M756" i="19"/>
  <c r="P756" i="19" s="1"/>
  <c r="L756" i="19"/>
  <c r="P755" i="19"/>
  <c r="N755" i="19"/>
  <c r="N754" i="19" s="1"/>
  <c r="M755" i="19"/>
  <c r="L755" i="19"/>
  <c r="O755" i="19" s="1"/>
  <c r="M754" i="19"/>
  <c r="P754" i="19" s="1"/>
  <c r="L754" i="19"/>
  <c r="O754" i="19" s="1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P741" i="19"/>
  <c r="O741" i="19"/>
  <c r="P740" i="19"/>
  <c r="O740" i="19"/>
  <c r="N740" i="19"/>
  <c r="M740" i="19"/>
  <c r="L740" i="19"/>
  <c r="O739" i="19"/>
  <c r="N739" i="19"/>
  <c r="M739" i="19"/>
  <c r="P739" i="19" s="1"/>
  <c r="L739" i="19"/>
  <c r="P738" i="19"/>
  <c r="N738" i="19"/>
  <c r="N737" i="19" s="1"/>
  <c r="M738" i="19"/>
  <c r="L738" i="19"/>
  <c r="O738" i="19" s="1"/>
  <c r="M737" i="19"/>
  <c r="P737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J722" i="19" s="1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K708" i="19" s="1"/>
  <c r="I707" i="19"/>
  <c r="I704" i="19"/>
  <c r="K701" i="19"/>
  <c r="J701" i="19"/>
  <c r="I701" i="19"/>
  <c r="J700" i="19"/>
  <c r="I700" i="19"/>
  <c r="K700" i="19" s="1"/>
  <c r="J699" i="19"/>
  <c r="I699" i="19"/>
  <c r="P697" i="19"/>
  <c r="O697" i="19"/>
  <c r="P696" i="19"/>
  <c r="O696" i="19"/>
  <c r="N695" i="19"/>
  <c r="M695" i="19"/>
  <c r="P695" i="19" s="1"/>
  <c r="L695" i="19"/>
  <c r="O695" i="19" s="1"/>
  <c r="N690" i="19"/>
  <c r="L690" i="19"/>
  <c r="L688" i="19" s="1"/>
  <c r="O688" i="19" s="1"/>
  <c r="N688" i="19"/>
  <c r="N687" i="19"/>
  <c r="P686" i="19"/>
  <c r="O686" i="19"/>
  <c r="N686" i="19"/>
  <c r="N685" i="19" s="1"/>
  <c r="M686" i="19"/>
  <c r="L686" i="19"/>
  <c r="J679" i="19"/>
  <c r="J678" i="19"/>
  <c r="I678" i="19"/>
  <c r="K678" i="19" s="1"/>
  <c r="J675" i="19"/>
  <c r="I671" i="19"/>
  <c r="K671" i="19" s="1"/>
  <c r="I670" i="19"/>
  <c r="K670" i="19" s="1"/>
  <c r="I669" i="19"/>
  <c r="K674" i="19" s="1"/>
  <c r="P667" i="19"/>
  <c r="O667" i="19"/>
  <c r="P666" i="19"/>
  <c r="O666" i="19"/>
  <c r="O665" i="19"/>
  <c r="N665" i="19"/>
  <c r="M665" i="19"/>
  <c r="P665" i="19" s="1"/>
  <c r="L665" i="19"/>
  <c r="N660" i="19"/>
  <c r="L660" i="19"/>
  <c r="M660" i="19" s="1"/>
  <c r="P659" i="19"/>
  <c r="O659" i="19"/>
  <c r="N658" i="19"/>
  <c r="N657" i="19"/>
  <c r="N656" i="19"/>
  <c r="N655" i="19" s="1"/>
  <c r="M656" i="19"/>
  <c r="P656" i="19" s="1"/>
  <c r="L656" i="19"/>
  <c r="K652" i="19"/>
  <c r="J652" i="19"/>
  <c r="J651" i="19"/>
  <c r="J628" i="19" s="1"/>
  <c r="I651" i="19"/>
  <c r="K650" i="19"/>
  <c r="J650" i="19"/>
  <c r="J649" i="19"/>
  <c r="I649" i="19"/>
  <c r="K649" i="19" s="1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P639" i="19"/>
  <c r="N639" i="19"/>
  <c r="M639" i="19"/>
  <c r="N634" i="19"/>
  <c r="N632" i="19" s="1"/>
  <c r="L634" i="19"/>
  <c r="O634" i="19" s="1"/>
  <c r="P633" i="19"/>
  <c r="O633" i="19"/>
  <c r="N631" i="19"/>
  <c r="O630" i="19"/>
  <c r="N630" i="19"/>
  <c r="N629" i="19" s="1"/>
  <c r="M630" i="19"/>
  <c r="P630" i="19" s="1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2" i="19" s="1"/>
  <c r="J596" i="19"/>
  <c r="J595" i="19"/>
  <c r="I594" i="19"/>
  <c r="I593" i="19"/>
  <c r="I592" i="19" s="1"/>
  <c r="K592" i="19" s="1"/>
  <c r="J583" i="19"/>
  <c r="J582" i="19"/>
  <c r="J577" i="19"/>
  <c r="I577" i="19"/>
  <c r="J576" i="19"/>
  <c r="I576" i="19"/>
  <c r="K576" i="19" s="1"/>
  <c r="J569" i="19"/>
  <c r="I569" i="19"/>
  <c r="K569" i="19" s="1"/>
  <c r="J568" i="19"/>
  <c r="I568" i="19"/>
  <c r="K568" i="19" s="1"/>
  <c r="J561" i="19"/>
  <c r="I561" i="19"/>
  <c r="J560" i="19"/>
  <c r="I560" i="19"/>
  <c r="K560" i="19" s="1"/>
  <c r="J559" i="19"/>
  <c r="P557" i="19"/>
  <c r="L557" i="19"/>
  <c r="O557" i="19" s="1"/>
  <c r="P556" i="19"/>
  <c r="O556" i="19"/>
  <c r="N555" i="19"/>
  <c r="N545" i="19" s="1"/>
  <c r="M555" i="19"/>
  <c r="P555" i="19" s="1"/>
  <c r="L555" i="19"/>
  <c r="O555" i="19" s="1"/>
  <c r="N549" i="19"/>
  <c r="L549" i="19"/>
  <c r="P548" i="19"/>
  <c r="O548" i="19"/>
  <c r="N547" i="19"/>
  <c r="N546" i="19"/>
  <c r="O545" i="19"/>
  <c r="M545" i="19"/>
  <c r="L545" i="19"/>
  <c r="N544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L533" i="19" s="1"/>
  <c r="O533" i="19" s="1"/>
  <c r="P534" i="19"/>
  <c r="O534" i="19"/>
  <c r="P533" i="19"/>
  <c r="N533" i="19"/>
  <c r="M533" i="19"/>
  <c r="P528" i="19"/>
  <c r="N528" i="19"/>
  <c r="L528" i="19"/>
  <c r="L526" i="19" s="1"/>
  <c r="O526" i="19" s="1"/>
  <c r="P527" i="19"/>
  <c r="O527" i="19"/>
  <c r="N526" i="19"/>
  <c r="M526" i="19"/>
  <c r="P526" i="19" s="1"/>
  <c r="N525" i="19"/>
  <c r="M525" i="19"/>
  <c r="P525" i="19" s="1"/>
  <c r="N524" i="19"/>
  <c r="N523" i="19" s="1"/>
  <c r="M524" i="19"/>
  <c r="L524" i="19"/>
  <c r="O524" i="19" s="1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P506" i="19"/>
  <c r="O506" i="19"/>
  <c r="P505" i="19"/>
  <c r="O505" i="19"/>
  <c r="M505" i="19"/>
  <c r="L505" i="19"/>
  <c r="P504" i="19"/>
  <c r="M504" i="19"/>
  <c r="L504" i="19"/>
  <c r="O503" i="19"/>
  <c r="N503" i="19"/>
  <c r="M503" i="19"/>
  <c r="P503" i="19" s="1"/>
  <c r="L503" i="19"/>
  <c r="P502" i="19"/>
  <c r="M502" i="19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N477" i="19"/>
  <c r="M477" i="19"/>
  <c r="P477" i="19" s="1"/>
  <c r="N472" i="19"/>
  <c r="L472" i="19"/>
  <c r="O472" i="19" s="1"/>
  <c r="P471" i="19"/>
  <c r="O471" i="19"/>
  <c r="N470" i="19"/>
  <c r="N469" i="19"/>
  <c r="P468" i="19"/>
  <c r="O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K462" i="19" s="1"/>
  <c r="I460" i="19"/>
  <c r="K460" i="19" s="1"/>
  <c r="K458" i="19"/>
  <c r="P456" i="19"/>
  <c r="L456" i="19"/>
  <c r="O456" i="19" s="1"/>
  <c r="P455" i="19"/>
  <c r="O455" i="19"/>
  <c r="P454" i="19"/>
  <c r="N454" i="19"/>
  <c r="M454" i="19"/>
  <c r="L454" i="19"/>
  <c r="O454" i="19" s="1"/>
  <c r="N449" i="19"/>
  <c r="N447" i="19" s="1"/>
  <c r="L449" i="19"/>
  <c r="M449" i="19" s="1"/>
  <c r="P448" i="19"/>
  <c r="O448" i="19"/>
  <c r="N446" i="19"/>
  <c r="P445" i="19"/>
  <c r="O445" i="19"/>
  <c r="N445" i="19"/>
  <c r="M445" i="19"/>
  <c r="L445" i="19"/>
  <c r="J443" i="19"/>
  <c r="I443" i="19"/>
  <c r="K443" i="19" s="1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I433" i="19" s="1"/>
  <c r="I417" i="19" s="1"/>
  <c r="J434" i="19"/>
  <c r="P431" i="19"/>
  <c r="L431" i="19"/>
  <c r="P430" i="19"/>
  <c r="O430" i="19"/>
  <c r="P429" i="19"/>
  <c r="N429" i="19"/>
  <c r="M429" i="19"/>
  <c r="N424" i="19"/>
  <c r="N422" i="19" s="1"/>
  <c r="L424" i="19"/>
  <c r="O424" i="19" s="1"/>
  <c r="P423" i="19"/>
  <c r="O423" i="19"/>
  <c r="N421" i="19"/>
  <c r="O420" i="19"/>
  <c r="N420" i="19"/>
  <c r="N419" i="19" s="1"/>
  <c r="M420" i="19"/>
  <c r="L420" i="19"/>
  <c r="J418" i="19"/>
  <c r="K413" i="19"/>
  <c r="K412" i="19"/>
  <c r="N410" i="19"/>
  <c r="N408" i="19" s="1"/>
  <c r="M410" i="19"/>
  <c r="P410" i="19" s="1"/>
  <c r="L410" i="19"/>
  <c r="P409" i="19"/>
  <c r="O409" i="19"/>
  <c r="N407" i="19"/>
  <c r="N405" i="19" s="1"/>
  <c r="M407" i="19"/>
  <c r="P407" i="19" s="1"/>
  <c r="L407" i="19"/>
  <c r="P406" i="19"/>
  <c r="O406" i="19"/>
  <c r="O403" i="19"/>
  <c r="N403" i="19"/>
  <c r="M403" i="19"/>
  <c r="L403" i="19"/>
  <c r="K401" i="19"/>
  <c r="J401" i="19"/>
  <c r="I401" i="19"/>
  <c r="K400" i="19"/>
  <c r="K399" i="19"/>
  <c r="N397" i="19"/>
  <c r="N395" i="19" s="1"/>
  <c r="M397" i="19"/>
  <c r="P397" i="19" s="1"/>
  <c r="L397" i="19"/>
  <c r="P396" i="19"/>
  <c r="O396" i="19"/>
  <c r="N394" i="19"/>
  <c r="M394" i="19"/>
  <c r="M392" i="19" s="1"/>
  <c r="P392" i="19" s="1"/>
  <c r="L394" i="19"/>
  <c r="L392" i="19" s="1"/>
  <c r="O392" i="19" s="1"/>
  <c r="P393" i="19"/>
  <c r="O393" i="19"/>
  <c r="O390" i="19"/>
  <c r="N390" i="19"/>
  <c r="M390" i="19"/>
  <c r="P390" i="19" s="1"/>
  <c r="L390" i="19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L353" i="19"/>
  <c r="P352" i="19"/>
  <c r="O352" i="19"/>
  <c r="N350" i="19"/>
  <c r="N348" i="19" s="1"/>
  <c r="M350" i="19"/>
  <c r="M348" i="19" s="1"/>
  <c r="L350" i="19"/>
  <c r="L348" i="19" s="1"/>
  <c r="P349" i="19"/>
  <c r="O349" i="19"/>
  <c r="O346" i="19"/>
  <c r="N346" i="19"/>
  <c r="M346" i="19"/>
  <c r="L346" i="19"/>
  <c r="J343" i="19"/>
  <c r="J342" i="19"/>
  <c r="J341" i="19"/>
  <c r="J340" i="19"/>
  <c r="I340" i="19"/>
  <c r="K340" i="19" s="1"/>
  <c r="J338" i="19"/>
  <c r="I338" i="19"/>
  <c r="N336" i="19"/>
  <c r="N334" i="19" s="1"/>
  <c r="M336" i="19"/>
  <c r="L336" i="19"/>
  <c r="P335" i="19"/>
  <c r="O335" i="19"/>
  <c r="N333" i="19"/>
  <c r="N331" i="19" s="1"/>
  <c r="M333" i="19"/>
  <c r="L333" i="19"/>
  <c r="L331" i="19" s="1"/>
  <c r="P332" i="19"/>
  <c r="O332" i="19"/>
  <c r="O329" i="19"/>
  <c r="N329" i="19"/>
  <c r="M329" i="19"/>
  <c r="P329" i="19" s="1"/>
  <c r="L329" i="19"/>
  <c r="I327" i="19"/>
  <c r="I325" i="19"/>
  <c r="I314" i="19" s="1"/>
  <c r="K314" i="19" s="1"/>
  <c r="N323" i="19"/>
  <c r="N321" i="19" s="1"/>
  <c r="M323" i="19"/>
  <c r="P323" i="19" s="1"/>
  <c r="L323" i="19"/>
  <c r="P322" i="19"/>
  <c r="O322" i="19"/>
  <c r="N320" i="19"/>
  <c r="M320" i="19"/>
  <c r="P320" i="19" s="1"/>
  <c r="L320" i="19"/>
  <c r="O320" i="19" s="1"/>
  <c r="P319" i="19"/>
  <c r="O319" i="19"/>
  <c r="P316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L306" i="19"/>
  <c r="P305" i="19"/>
  <c r="O305" i="19"/>
  <c r="O303" i="19"/>
  <c r="N303" i="19"/>
  <c r="N300" i="19" s="1"/>
  <c r="M303" i="19"/>
  <c r="L303" i="19"/>
  <c r="L301" i="19" s="1"/>
  <c r="O301" i="19" s="1"/>
  <c r="P302" i="19"/>
  <c r="O302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I275" i="19" s="1"/>
  <c r="K275" i="19" s="1"/>
  <c r="I287" i="19"/>
  <c r="I276" i="19" s="1"/>
  <c r="K276" i="19" s="1"/>
  <c r="N285" i="19"/>
  <c r="N283" i="19" s="1"/>
  <c r="M285" i="19"/>
  <c r="M283" i="19" s="1"/>
  <c r="P283" i="19" s="1"/>
  <c r="L285" i="19"/>
  <c r="L283" i="19" s="1"/>
  <c r="O283" i="19" s="1"/>
  <c r="P284" i="19"/>
  <c r="O284" i="19"/>
  <c r="N282" i="19"/>
  <c r="N280" i="19" s="1"/>
  <c r="M282" i="19"/>
  <c r="M280" i="19" s="1"/>
  <c r="P280" i="19" s="1"/>
  <c r="L282" i="19"/>
  <c r="P281" i="19"/>
  <c r="O281" i="19"/>
  <c r="O278" i="19"/>
  <c r="N278" i="19"/>
  <c r="M278" i="19"/>
  <c r="L278" i="19"/>
  <c r="J276" i="19"/>
  <c r="I271" i="19"/>
  <c r="I260" i="19" s="1"/>
  <c r="K260" i="19" s="1"/>
  <c r="N269" i="19"/>
  <c r="N267" i="19" s="1"/>
  <c r="M269" i="19"/>
  <c r="L269" i="19"/>
  <c r="L267" i="19" s="1"/>
  <c r="O267" i="19" s="1"/>
  <c r="P268" i="19"/>
  <c r="O268" i="19"/>
  <c r="N266" i="19"/>
  <c r="M266" i="19"/>
  <c r="L266" i="19"/>
  <c r="L264" i="19" s="1"/>
  <c r="P265" i="19"/>
  <c r="O265" i="19"/>
  <c r="N262" i="19"/>
  <c r="M262" i="19"/>
  <c r="L262" i="19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J226" i="19" s="1"/>
  <c r="J180" i="19" s="1"/>
  <c r="K247" i="19"/>
  <c r="K246" i="19"/>
  <c r="I244" i="19"/>
  <c r="K244" i="19" s="1"/>
  <c r="L242" i="19"/>
  <c r="L241" i="19"/>
  <c r="L240" i="19"/>
  <c r="L239" i="19"/>
  <c r="P238" i="19"/>
  <c r="N238" i="19"/>
  <c r="N227" i="19" s="1"/>
  <c r="J237" i="19"/>
  <c r="J236" i="19"/>
  <c r="I236" i="19"/>
  <c r="K236" i="19" s="1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M189" i="19"/>
  <c r="L189" i="19"/>
  <c r="O189" i="19" s="1"/>
  <c r="P188" i="19"/>
  <c r="O188" i="19"/>
  <c r="N186" i="19"/>
  <c r="N184" i="19" s="1"/>
  <c r="M186" i="19"/>
  <c r="L186" i="19"/>
  <c r="P185" i="19"/>
  <c r="O185" i="19"/>
  <c r="P182" i="19"/>
  <c r="N182" i="19"/>
  <c r="M182" i="19"/>
  <c r="L182" i="19"/>
  <c r="J177" i="19"/>
  <c r="I176" i="19"/>
  <c r="I174" i="19" s="1"/>
  <c r="J174" i="19"/>
  <c r="N173" i="19"/>
  <c r="N171" i="19" s="1"/>
  <c r="M173" i="19"/>
  <c r="L173" i="19"/>
  <c r="L171" i="19" s="1"/>
  <c r="O171" i="19" s="1"/>
  <c r="P172" i="19"/>
  <c r="O172" i="19"/>
  <c r="N170" i="19"/>
  <c r="M170" i="19"/>
  <c r="L170" i="19"/>
  <c r="L168" i="19" s="1"/>
  <c r="P169" i="19"/>
  <c r="O169" i="19"/>
  <c r="P166" i="19"/>
  <c r="N166" i="19"/>
  <c r="M166" i="19"/>
  <c r="L166" i="19"/>
  <c r="J164" i="19"/>
  <c r="I159" i="19"/>
  <c r="K159" i="19" s="1"/>
  <c r="N157" i="19"/>
  <c r="N155" i="19" s="1"/>
  <c r="M157" i="19"/>
  <c r="L157" i="19"/>
  <c r="L155" i="19" s="1"/>
  <c r="O155" i="19" s="1"/>
  <c r="P156" i="19"/>
  <c r="O156" i="19"/>
  <c r="N154" i="19"/>
  <c r="N152" i="19" s="1"/>
  <c r="M154" i="19"/>
  <c r="M151" i="19" s="1"/>
  <c r="P151" i="19" s="1"/>
  <c r="L154" i="19"/>
  <c r="L152" i="19" s="1"/>
  <c r="O152" i="19" s="1"/>
  <c r="P153" i="19"/>
  <c r="O153" i="19"/>
  <c r="L151" i="19"/>
  <c r="O151" i="19" s="1"/>
  <c r="N150" i="19"/>
  <c r="M150" i="19"/>
  <c r="P150" i="19" s="1"/>
  <c r="L150" i="19"/>
  <c r="J148" i="19"/>
  <c r="I146" i="19"/>
  <c r="I145" i="19"/>
  <c r="I143" i="19" s="1"/>
  <c r="I144" i="19"/>
  <c r="K144" i="19" s="1"/>
  <c r="N140" i="19"/>
  <c r="M140" i="19"/>
  <c r="P140" i="19" s="1"/>
  <c r="L140" i="19"/>
  <c r="O140" i="19" s="1"/>
  <c r="P139" i="19"/>
  <c r="O139" i="19"/>
  <c r="N138" i="19"/>
  <c r="N137" i="19"/>
  <c r="N134" i="19" s="1"/>
  <c r="N132" i="19" s="1"/>
  <c r="M137" i="19"/>
  <c r="M134" i="19" s="1"/>
  <c r="L137" i="19"/>
  <c r="P136" i="19"/>
  <c r="O136" i="19"/>
  <c r="P133" i="19"/>
  <c r="O133" i="19"/>
  <c r="N133" i="19"/>
  <c r="M133" i="19"/>
  <c r="L133" i="19"/>
  <c r="J130" i="19"/>
  <c r="N127" i="19"/>
  <c r="N125" i="19" s="1"/>
  <c r="M127" i="19"/>
  <c r="L127" i="19"/>
  <c r="L125" i="19" s="1"/>
  <c r="O125" i="19" s="1"/>
  <c r="P126" i="19"/>
  <c r="O126" i="19"/>
  <c r="N124" i="19"/>
  <c r="N122" i="19" s="1"/>
  <c r="M124" i="19"/>
  <c r="M121" i="19" s="1"/>
  <c r="P121" i="19" s="1"/>
  <c r="L124" i="19"/>
  <c r="L122" i="19" s="1"/>
  <c r="O122" i="19" s="1"/>
  <c r="P123" i="19"/>
  <c r="O123" i="19"/>
  <c r="N120" i="19"/>
  <c r="M120" i="19"/>
  <c r="P120" i="19" s="1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J99" i="19"/>
  <c r="I99" i="19"/>
  <c r="I87" i="19" s="1"/>
  <c r="K87" i="19" s="1"/>
  <c r="J98" i="19"/>
  <c r="J86" i="19" s="1"/>
  <c r="I98" i="19"/>
  <c r="I86" i="19" s="1"/>
  <c r="N96" i="19"/>
  <c r="N94" i="19" s="1"/>
  <c r="M96" i="19"/>
  <c r="L96" i="19"/>
  <c r="O96" i="19" s="1"/>
  <c r="P95" i="19"/>
  <c r="O95" i="19"/>
  <c r="N93" i="19"/>
  <c r="M93" i="19"/>
  <c r="M91" i="19" s="1"/>
  <c r="L93" i="19"/>
  <c r="L91" i="19" s="1"/>
  <c r="P92" i="19"/>
  <c r="O92" i="19"/>
  <c r="P89" i="19"/>
  <c r="O89" i="19"/>
  <c r="N89" i="19"/>
  <c r="M89" i="19"/>
  <c r="L89" i="19"/>
  <c r="J87" i="19"/>
  <c r="I84" i="19"/>
  <c r="K84" i="19" s="1"/>
  <c r="I83" i="19"/>
  <c r="K83" i="19" s="1"/>
  <c r="I82" i="19"/>
  <c r="K82" i="19" s="1"/>
  <c r="I81" i="19"/>
  <c r="I80" i="19"/>
  <c r="K80" i="19" s="1"/>
  <c r="I79" i="19"/>
  <c r="K79" i="19" s="1"/>
  <c r="I78" i="19"/>
  <c r="K78" i="19" s="1"/>
  <c r="J77" i="19"/>
  <c r="J65" i="19" s="1"/>
  <c r="J76" i="19"/>
  <c r="N74" i="19"/>
  <c r="N72" i="19" s="1"/>
  <c r="M74" i="19"/>
  <c r="P74" i="19" s="1"/>
  <c r="L74" i="19"/>
  <c r="O74" i="19" s="1"/>
  <c r="P73" i="19"/>
  <c r="O73" i="19"/>
  <c r="N71" i="19"/>
  <c r="N69" i="19" s="1"/>
  <c r="M71" i="19"/>
  <c r="L71" i="19"/>
  <c r="L69" i="19" s="1"/>
  <c r="P70" i="19"/>
  <c r="O70" i="19"/>
  <c r="P67" i="19"/>
  <c r="O67" i="19"/>
  <c r="N67" i="19"/>
  <c r="M67" i="19"/>
  <c r="L67" i="19"/>
  <c r="J64" i="19"/>
  <c r="N61" i="19"/>
  <c r="N59" i="19" s="1"/>
  <c r="M61" i="19"/>
  <c r="L61" i="19"/>
  <c r="L59" i="19" s="1"/>
  <c r="O59" i="19" s="1"/>
  <c r="P60" i="19"/>
  <c r="O60" i="19"/>
  <c r="N58" i="19"/>
  <c r="M58" i="19"/>
  <c r="L58" i="19"/>
  <c r="L56" i="19" s="1"/>
  <c r="P57" i="19"/>
  <c r="O57" i="19"/>
  <c r="N54" i="19"/>
  <c r="M54" i="19"/>
  <c r="L54" i="19"/>
  <c r="O54" i="19" s="1"/>
  <c r="N49" i="19"/>
  <c r="N47" i="19" s="1"/>
  <c r="M49" i="19"/>
  <c r="P49" i="19" s="1"/>
  <c r="L49" i="19"/>
  <c r="P48" i="19"/>
  <c r="O48" i="19"/>
  <c r="N46" i="19"/>
  <c r="N44" i="19" s="1"/>
  <c r="M46" i="19"/>
  <c r="M44" i="19" s="1"/>
  <c r="L46" i="19"/>
  <c r="L44" i="19" s="1"/>
  <c r="P45" i="19"/>
  <c r="O45" i="19"/>
  <c r="P42" i="19"/>
  <c r="O42" i="19"/>
  <c r="N42" i="19"/>
  <c r="M42" i="19"/>
  <c r="L42" i="19"/>
  <c r="N36" i="19"/>
  <c r="N34" i="19" s="1"/>
  <c r="M36" i="19"/>
  <c r="P36" i="19" s="1"/>
  <c r="P35" i="19"/>
  <c r="N35" i="19"/>
  <c r="M35" i="19"/>
  <c r="M34" i="19" s="1"/>
  <c r="P34" i="19" s="1"/>
  <c r="L35" i="19"/>
  <c r="N33" i="19"/>
  <c r="N30" i="19" s="1"/>
  <c r="O32" i="19"/>
  <c r="N32" i="19"/>
  <c r="N29" i="19" s="1"/>
  <c r="N28" i="19" s="1"/>
  <c r="M32" i="19"/>
  <c r="P32" i="19" s="1"/>
  <c r="L32" i="19"/>
  <c r="O25" i="19"/>
  <c r="N25" i="19"/>
  <c r="N15" i="19" s="1"/>
  <c r="M25" i="19"/>
  <c r="P25" i="19" s="1"/>
  <c r="L25" i="19"/>
  <c r="P22" i="19"/>
  <c r="N22" i="19"/>
  <c r="M22" i="19"/>
  <c r="L22" i="19"/>
  <c r="N19" i="19"/>
  <c r="M19" i="19"/>
  <c r="P19" i="19" s="1"/>
  <c r="M12" i="19"/>
  <c r="P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P807" i="18"/>
  <c r="N807" i="18"/>
  <c r="M807" i="18"/>
  <c r="L807" i="18"/>
  <c r="O807" i="18" s="1"/>
  <c r="O806" i="18"/>
  <c r="N806" i="18"/>
  <c r="M806" i="18"/>
  <c r="L806" i="18"/>
  <c r="L805" i="18" s="1"/>
  <c r="O805" i="18" s="1"/>
  <c r="N805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O796" i="18"/>
  <c r="N796" i="18"/>
  <c r="M796" i="18"/>
  <c r="P796" i="18" s="1"/>
  <c r="L796" i="18"/>
  <c r="N791" i="18"/>
  <c r="N789" i="18" s="1"/>
  <c r="L791" i="18"/>
  <c r="L788" i="18" s="1"/>
  <c r="P790" i="18"/>
  <c r="O790" i="18"/>
  <c r="N788" i="18"/>
  <c r="N786" i="18" s="1"/>
  <c r="P787" i="18"/>
  <c r="O787" i="18"/>
  <c r="N787" i="18"/>
  <c r="M787" i="18"/>
  <c r="L787" i="18"/>
  <c r="P782" i="18"/>
  <c r="O782" i="18"/>
  <c r="P781" i="18"/>
  <c r="O781" i="18"/>
  <c r="P780" i="18"/>
  <c r="N780" i="18"/>
  <c r="M780" i="18"/>
  <c r="L780" i="18"/>
  <c r="O780" i="18" s="1"/>
  <c r="P775" i="18"/>
  <c r="O775" i="18"/>
  <c r="N775" i="18"/>
  <c r="N772" i="18" s="1"/>
  <c r="P774" i="18"/>
  <c r="O774" i="18"/>
  <c r="P773" i="18"/>
  <c r="N773" i="18"/>
  <c r="M773" i="18"/>
  <c r="L773" i="18"/>
  <c r="O773" i="18" s="1"/>
  <c r="M772" i="18"/>
  <c r="P772" i="18" s="1"/>
  <c r="L772" i="18"/>
  <c r="O772" i="18" s="1"/>
  <c r="P771" i="18"/>
  <c r="N771" i="18"/>
  <c r="N770" i="18" s="1"/>
  <c r="M771" i="18"/>
  <c r="L771" i="18"/>
  <c r="M770" i="18"/>
  <c r="P770" i="18" s="1"/>
  <c r="K769" i="18"/>
  <c r="J769" i="18"/>
  <c r="P766" i="18"/>
  <c r="O766" i="18"/>
  <c r="P765" i="18"/>
  <c r="O765" i="18"/>
  <c r="P764" i="18"/>
  <c r="N764" i="18"/>
  <c r="M764" i="18"/>
  <c r="L764" i="18"/>
  <c r="O764" i="18" s="1"/>
  <c r="P759" i="18"/>
  <c r="O759" i="18"/>
  <c r="N759" i="18"/>
  <c r="N756" i="18" s="1"/>
  <c r="P758" i="18"/>
  <c r="O758" i="18"/>
  <c r="P757" i="18"/>
  <c r="N757" i="18"/>
  <c r="M757" i="18"/>
  <c r="L757" i="18"/>
  <c r="O757" i="18" s="1"/>
  <c r="M756" i="18"/>
  <c r="P756" i="18" s="1"/>
  <c r="L756" i="18"/>
  <c r="O756" i="18" s="1"/>
  <c r="N755" i="18"/>
  <c r="N754" i="18" s="1"/>
  <c r="M755" i="18"/>
  <c r="P755" i="18" s="1"/>
  <c r="L755" i="18"/>
  <c r="M754" i="18"/>
  <c r="P754" i="18" s="1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N739" i="18" s="1"/>
  <c r="P741" i="18"/>
  <c r="O741" i="18"/>
  <c r="N740" i="18"/>
  <c r="M740" i="18"/>
  <c r="P740" i="18" s="1"/>
  <c r="L740" i="18"/>
  <c r="O740" i="18" s="1"/>
  <c r="O739" i="18"/>
  <c r="M739" i="18"/>
  <c r="P739" i="18" s="1"/>
  <c r="L739" i="18"/>
  <c r="N738" i="18"/>
  <c r="N737" i="18" s="1"/>
  <c r="M738" i="18"/>
  <c r="P738" i="18" s="1"/>
  <c r="L738" i="18"/>
  <c r="M737" i="18"/>
  <c r="P737" i="18" s="1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P695" i="18"/>
  <c r="N695" i="18"/>
  <c r="M695" i="18"/>
  <c r="L695" i="18"/>
  <c r="O695" i="18" s="1"/>
  <c r="O690" i="18"/>
  <c r="N690" i="18"/>
  <c r="N687" i="18" s="1"/>
  <c r="L690" i="18"/>
  <c r="M690" i="18" s="1"/>
  <c r="P690" i="18" s="1"/>
  <c r="N688" i="18"/>
  <c r="N686" i="18"/>
  <c r="N685" i="18" s="1"/>
  <c r="M686" i="18"/>
  <c r="P686" i="18" s="1"/>
  <c r="L686" i="18"/>
  <c r="J679" i="18"/>
  <c r="J678" i="18" s="1"/>
  <c r="I678" i="18"/>
  <c r="K678" i="18" s="1"/>
  <c r="J675" i="18"/>
  <c r="I671" i="18"/>
  <c r="K671" i="18" s="1"/>
  <c r="I670" i="18"/>
  <c r="K670" i="18" s="1"/>
  <c r="J669" i="18"/>
  <c r="I669" i="18"/>
  <c r="K672" i="18" s="1"/>
  <c r="P667" i="18"/>
  <c r="O667" i="18"/>
  <c r="P666" i="18"/>
  <c r="O666" i="18"/>
  <c r="N665" i="18"/>
  <c r="M665" i="18"/>
  <c r="P665" i="18" s="1"/>
  <c r="L665" i="18"/>
  <c r="O665" i="18" s="1"/>
  <c r="N660" i="18"/>
  <c r="L660" i="18"/>
  <c r="O660" i="18" s="1"/>
  <c r="P659" i="18"/>
  <c r="O659" i="18"/>
  <c r="N658" i="18"/>
  <c r="N657" i="18"/>
  <c r="P656" i="18"/>
  <c r="O656" i="18"/>
  <c r="N656" i="18"/>
  <c r="M656" i="18"/>
  <c r="L656" i="18"/>
  <c r="N655" i="18"/>
  <c r="J654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M634" i="18" s="1"/>
  <c r="P633" i="18"/>
  <c r="O633" i="18"/>
  <c r="N632" i="18"/>
  <c r="O630" i="18"/>
  <c r="N630" i="18"/>
  <c r="M630" i="18"/>
  <c r="L630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I594" i="18"/>
  <c r="I593" i="18"/>
  <c r="J583" i="18"/>
  <c r="J582" i="18"/>
  <c r="J576" i="18" s="1"/>
  <c r="J559" i="18" s="1"/>
  <c r="J577" i="18"/>
  <c r="I577" i="18"/>
  <c r="K577" i="18" s="1"/>
  <c r="I576" i="18"/>
  <c r="I559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N555" i="18"/>
  <c r="M555" i="18"/>
  <c r="N549" i="18"/>
  <c r="N547" i="18" s="1"/>
  <c r="L549" i="18"/>
  <c r="P548" i="18"/>
  <c r="O548" i="18"/>
  <c r="N545" i="18"/>
  <c r="L545" i="18"/>
  <c r="O545" i="18" s="1"/>
  <c r="J543" i="18"/>
  <c r="I542" i="18"/>
  <c r="K542" i="18" s="1"/>
  <c r="I541" i="18"/>
  <c r="K541" i="18" s="1"/>
  <c r="I540" i="18"/>
  <c r="I539" i="18"/>
  <c r="K539" i="18" s="1"/>
  <c r="I538" i="18"/>
  <c r="K538" i="18" s="1"/>
  <c r="I537" i="18"/>
  <c r="I522" i="18" s="1"/>
  <c r="K522" i="18" s="1"/>
  <c r="P535" i="18"/>
  <c r="L535" i="18"/>
  <c r="O535" i="18" s="1"/>
  <c r="P534" i="18"/>
  <c r="O534" i="18"/>
  <c r="N533" i="18"/>
  <c r="M533" i="18"/>
  <c r="P533" i="18" s="1"/>
  <c r="P528" i="18"/>
  <c r="N528" i="18"/>
  <c r="N525" i="18" s="1"/>
  <c r="L528" i="18"/>
  <c r="P527" i="18"/>
  <c r="O527" i="18"/>
  <c r="P526" i="18"/>
  <c r="N526" i="18"/>
  <c r="M526" i="18"/>
  <c r="P525" i="18"/>
  <c r="M525" i="18"/>
  <c r="P524" i="18"/>
  <c r="O524" i="18"/>
  <c r="N524" i="18"/>
  <c r="M524" i="18"/>
  <c r="L524" i="18"/>
  <c r="P523" i="18"/>
  <c r="N523" i="18"/>
  <c r="M523" i="18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P506" i="18"/>
  <c r="O506" i="18"/>
  <c r="O505" i="18"/>
  <c r="N505" i="18"/>
  <c r="M505" i="18"/>
  <c r="P505" i="18" s="1"/>
  <c r="L505" i="18"/>
  <c r="P504" i="18"/>
  <c r="N504" i="18"/>
  <c r="N502" i="18" s="1"/>
  <c r="M504" i="18"/>
  <c r="L504" i="18"/>
  <c r="O504" i="18" s="1"/>
  <c r="O503" i="18"/>
  <c r="N503" i="18"/>
  <c r="M503" i="18"/>
  <c r="L503" i="18"/>
  <c r="L502" i="18" s="1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L477" i="18"/>
  <c r="O477" i="18" s="1"/>
  <c r="N472" i="18"/>
  <c r="N470" i="18" s="1"/>
  <c r="L472" i="18"/>
  <c r="M472" i="18" s="1"/>
  <c r="P471" i="18"/>
  <c r="O471" i="18"/>
  <c r="N469" i="18"/>
  <c r="O468" i="18"/>
  <c r="N468" i="18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I443" i="18" s="1"/>
  <c r="K443" i="18" s="1"/>
  <c r="I460" i="18"/>
  <c r="K460" i="18" s="1"/>
  <c r="K458" i="18"/>
  <c r="P456" i="18"/>
  <c r="L456" i="18"/>
  <c r="P455" i="18"/>
  <c r="O455" i="18"/>
  <c r="P454" i="18"/>
  <c r="N454" i="18"/>
  <c r="M454" i="18"/>
  <c r="N449" i="18"/>
  <c r="L449" i="18"/>
  <c r="L447" i="18" s="1"/>
  <c r="P448" i="18"/>
  <c r="O448" i="18"/>
  <c r="N447" i="18"/>
  <c r="N446" i="18"/>
  <c r="N445" i="18"/>
  <c r="N444" i="18" s="1"/>
  <c r="M445" i="18"/>
  <c r="P445" i="18" s="1"/>
  <c r="L445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J434" i="18"/>
  <c r="J418" i="18" s="1"/>
  <c r="P431" i="18"/>
  <c r="L431" i="18"/>
  <c r="O431" i="18" s="1"/>
  <c r="P430" i="18"/>
  <c r="O430" i="18"/>
  <c r="N429" i="18"/>
  <c r="M429" i="18"/>
  <c r="P429" i="18" s="1"/>
  <c r="L429" i="18"/>
  <c r="O429" i="18" s="1"/>
  <c r="N424" i="18"/>
  <c r="L424" i="18"/>
  <c r="P423" i="18"/>
  <c r="O423" i="18"/>
  <c r="N420" i="18"/>
  <c r="M420" i="18"/>
  <c r="L420" i="18"/>
  <c r="K413" i="18"/>
  <c r="K412" i="18"/>
  <c r="N410" i="18"/>
  <c r="N408" i="18" s="1"/>
  <c r="M410" i="18"/>
  <c r="P410" i="18" s="1"/>
  <c r="L410" i="18"/>
  <c r="P409" i="18"/>
  <c r="O409" i="18"/>
  <c r="N407" i="18"/>
  <c r="N405" i="18" s="1"/>
  <c r="M407" i="18"/>
  <c r="P407" i="18" s="1"/>
  <c r="L407" i="18"/>
  <c r="P406" i="18"/>
  <c r="O406" i="18"/>
  <c r="P403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M395" i="18" s="1"/>
  <c r="P395" i="18" s="1"/>
  <c r="L397" i="18"/>
  <c r="O397" i="18" s="1"/>
  <c r="P396" i="18"/>
  <c r="O396" i="18"/>
  <c r="N394" i="18"/>
  <c r="N392" i="18" s="1"/>
  <c r="M394" i="18"/>
  <c r="M392" i="18" s="1"/>
  <c r="P392" i="18" s="1"/>
  <c r="L394" i="18"/>
  <c r="O394" i="18" s="1"/>
  <c r="P393" i="18"/>
  <c r="O393" i="18"/>
  <c r="O390" i="18"/>
  <c r="N390" i="18"/>
  <c r="M390" i="18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L351" i="18" s="1"/>
  <c r="P352" i="18"/>
  <c r="O352" i="18"/>
  <c r="N350" i="18"/>
  <c r="N348" i="18" s="1"/>
  <c r="M350" i="18"/>
  <c r="M348" i="18" s="1"/>
  <c r="L350" i="18"/>
  <c r="L348" i="18" s="1"/>
  <c r="P349" i="18"/>
  <c r="O349" i="18"/>
  <c r="P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O336" i="18" s="1"/>
  <c r="P335" i="18"/>
  <c r="O335" i="18"/>
  <c r="N333" i="18"/>
  <c r="N331" i="18" s="1"/>
  <c r="M333" i="18"/>
  <c r="L333" i="18"/>
  <c r="P332" i="18"/>
  <c r="O332" i="18"/>
  <c r="N330" i="18"/>
  <c r="N328" i="18" s="1"/>
  <c r="P329" i="18"/>
  <c r="N329" i="18"/>
  <c r="M329" i="18"/>
  <c r="L329" i="18"/>
  <c r="I327" i="18"/>
  <c r="I325" i="18"/>
  <c r="K325" i="18" s="1"/>
  <c r="N323" i="18"/>
  <c r="N321" i="18" s="1"/>
  <c r="M323" i="18"/>
  <c r="L323" i="18"/>
  <c r="O323" i="18" s="1"/>
  <c r="P322" i="18"/>
  <c r="O322" i="18"/>
  <c r="N320" i="18"/>
  <c r="N318" i="18" s="1"/>
  <c r="M320" i="18"/>
  <c r="P320" i="18" s="1"/>
  <c r="L320" i="18"/>
  <c r="L318" i="18" s="1"/>
  <c r="O318" i="18" s="1"/>
  <c r="P319" i="18"/>
  <c r="O319" i="18"/>
  <c r="M318" i="18"/>
  <c r="P318" i="18" s="1"/>
  <c r="N316" i="18"/>
  <c r="M316" i="18"/>
  <c r="P316" i="18" s="1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L306" i="18"/>
  <c r="P305" i="18"/>
  <c r="O305" i="18"/>
  <c r="N303" i="18"/>
  <c r="N301" i="18" s="1"/>
  <c r="M303" i="18"/>
  <c r="L303" i="18"/>
  <c r="P302" i="18"/>
  <c r="O302" i="18"/>
  <c r="P299" i="18"/>
  <c r="N299" i="18"/>
  <c r="M299" i="18"/>
  <c r="L299" i="18"/>
  <c r="J297" i="18"/>
  <c r="I297" i="18"/>
  <c r="K297" i="18" s="1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I276" i="18" s="1"/>
  <c r="K276" i="18" s="1"/>
  <c r="N285" i="18"/>
  <c r="N283" i="18" s="1"/>
  <c r="M285" i="18"/>
  <c r="P285" i="18" s="1"/>
  <c r="L285" i="18"/>
  <c r="L283" i="18" s="1"/>
  <c r="O283" i="18" s="1"/>
  <c r="P284" i="18"/>
  <c r="O284" i="18"/>
  <c r="N282" i="18"/>
  <c r="N280" i="18" s="1"/>
  <c r="M282" i="18"/>
  <c r="M280" i="18" s="1"/>
  <c r="L282" i="18"/>
  <c r="L280" i="18" s="1"/>
  <c r="P281" i="18"/>
  <c r="O281" i="18"/>
  <c r="O278" i="18"/>
  <c r="N278" i="18"/>
  <c r="M278" i="18"/>
  <c r="P278" i="18" s="1"/>
  <c r="L278" i="18"/>
  <c r="J276" i="18"/>
  <c r="I271" i="18"/>
  <c r="N269" i="18"/>
  <c r="N267" i="18" s="1"/>
  <c r="M269" i="18"/>
  <c r="L269" i="18"/>
  <c r="O269" i="18" s="1"/>
  <c r="P268" i="18"/>
  <c r="O268" i="18"/>
  <c r="N266" i="18"/>
  <c r="M266" i="18"/>
  <c r="M264" i="18" s="1"/>
  <c r="L266" i="18"/>
  <c r="P265" i="18"/>
  <c r="O265" i="18"/>
  <c r="P262" i="18"/>
  <c r="O262" i="18"/>
  <c r="N262" i="18"/>
  <c r="M262" i="18"/>
  <c r="L262" i="18"/>
  <c r="J260" i="18"/>
  <c r="K258" i="18"/>
  <c r="K257" i="18"/>
  <c r="I255" i="18"/>
  <c r="I248" i="18" s="1"/>
  <c r="K248" i="18" s="1"/>
  <c r="L253" i="18"/>
  <c r="L252" i="18"/>
  <c r="L251" i="18"/>
  <c r="L250" i="18"/>
  <c r="P249" i="18"/>
  <c r="N249" i="18"/>
  <c r="J248" i="18"/>
  <c r="J226" i="18" s="1"/>
  <c r="J180" i="18" s="1"/>
  <c r="K247" i="18"/>
  <c r="K246" i="18"/>
  <c r="I244" i="18"/>
  <c r="L242" i="18"/>
  <c r="L241" i="18"/>
  <c r="L240" i="18"/>
  <c r="L239" i="18"/>
  <c r="P238" i="18"/>
  <c r="N238" i="18"/>
  <c r="N227" i="18" s="1"/>
  <c r="J237" i="18"/>
  <c r="K236" i="18"/>
  <c r="J236" i="18"/>
  <c r="I236" i="18"/>
  <c r="K235" i="18"/>
  <c r="J235" i="18"/>
  <c r="I235" i="18"/>
  <c r="J233" i="18"/>
  <c r="N231" i="18"/>
  <c r="N230" i="18"/>
  <c r="N229" i="18"/>
  <c r="N228" i="18"/>
  <c r="I225" i="18"/>
  <c r="I224" i="18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N184" i="18" s="1"/>
  <c r="M186" i="18"/>
  <c r="P186" i="18" s="1"/>
  <c r="L186" i="18"/>
  <c r="P185" i="18"/>
  <c r="O185" i="18"/>
  <c r="N182" i="18"/>
  <c r="M182" i="18"/>
  <c r="L182" i="18"/>
  <c r="O182" i="18" s="1"/>
  <c r="J177" i="18"/>
  <c r="I176" i="18"/>
  <c r="J174" i="18"/>
  <c r="J164" i="18" s="1"/>
  <c r="N173" i="18"/>
  <c r="N171" i="18" s="1"/>
  <c r="M173" i="18"/>
  <c r="M171" i="18" s="1"/>
  <c r="P171" i="18" s="1"/>
  <c r="L173" i="18"/>
  <c r="P172" i="18"/>
  <c r="O172" i="18"/>
  <c r="N170" i="18"/>
  <c r="N168" i="18" s="1"/>
  <c r="M170" i="18"/>
  <c r="M168" i="18" s="1"/>
  <c r="L170" i="18"/>
  <c r="P169" i="18"/>
  <c r="O169" i="18"/>
  <c r="P166" i="18"/>
  <c r="N166" i="18"/>
  <c r="M166" i="18"/>
  <c r="L166" i="18"/>
  <c r="O166" i="18" s="1"/>
  <c r="I159" i="18"/>
  <c r="N157" i="18"/>
  <c r="N155" i="18" s="1"/>
  <c r="M157" i="18"/>
  <c r="L157" i="18"/>
  <c r="P156" i="18"/>
  <c r="O156" i="18"/>
  <c r="N154" i="18"/>
  <c r="N152" i="18" s="1"/>
  <c r="M154" i="18"/>
  <c r="L154" i="18"/>
  <c r="P153" i="18"/>
  <c r="O153" i="18"/>
  <c r="N150" i="18"/>
  <c r="M150" i="18"/>
  <c r="L150" i="18"/>
  <c r="J148" i="18"/>
  <c r="I146" i="18"/>
  <c r="K146" i="18" s="1"/>
  <c r="I145" i="18"/>
  <c r="I144" i="18"/>
  <c r="N140" i="18"/>
  <c r="M140" i="18"/>
  <c r="M138" i="18" s="1"/>
  <c r="P138" i="18" s="1"/>
  <c r="L140" i="18"/>
  <c r="O140" i="18" s="1"/>
  <c r="P139" i="18"/>
  <c r="O139" i="18"/>
  <c r="N137" i="18"/>
  <c r="N135" i="18" s="1"/>
  <c r="M137" i="18"/>
  <c r="P137" i="18" s="1"/>
  <c r="L137" i="18"/>
  <c r="P136" i="18"/>
  <c r="O136" i="18"/>
  <c r="O133" i="18"/>
  <c r="N133" i="18"/>
  <c r="M133" i="18"/>
  <c r="L133" i="18"/>
  <c r="J130" i="18"/>
  <c r="N127" i="18"/>
  <c r="M127" i="18"/>
  <c r="M125" i="18" s="1"/>
  <c r="L127" i="18"/>
  <c r="P126" i="18"/>
  <c r="O126" i="18"/>
  <c r="N124" i="18"/>
  <c r="M124" i="18"/>
  <c r="M122" i="18" s="1"/>
  <c r="P122" i="18" s="1"/>
  <c r="L124" i="18"/>
  <c r="O124" i="18" s="1"/>
  <c r="P123" i="18"/>
  <c r="O123" i="18"/>
  <c r="N122" i="18"/>
  <c r="O120" i="18"/>
  <c r="N120" i="18"/>
  <c r="M120" i="18"/>
  <c r="P120" i="18" s="1"/>
  <c r="L120" i="18"/>
  <c r="K118" i="18"/>
  <c r="J118" i="18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J98" i="18"/>
  <c r="J86" i="18" s="1"/>
  <c r="I98" i="18"/>
  <c r="K98" i="18" s="1"/>
  <c r="N96" i="18"/>
  <c r="N94" i="18" s="1"/>
  <c r="M96" i="18"/>
  <c r="P96" i="18" s="1"/>
  <c r="L96" i="18"/>
  <c r="P95" i="18"/>
  <c r="O95" i="18"/>
  <c r="N93" i="18"/>
  <c r="M93" i="18"/>
  <c r="M91" i="18" s="1"/>
  <c r="L93" i="18"/>
  <c r="P92" i="18"/>
  <c r="O92" i="18"/>
  <c r="N89" i="18"/>
  <c r="M89" i="18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76" i="18"/>
  <c r="J64" i="18" s="1"/>
  <c r="N74" i="18"/>
  <c r="N72" i="18" s="1"/>
  <c r="M74" i="18"/>
  <c r="P74" i="18" s="1"/>
  <c r="L74" i="18"/>
  <c r="O74" i="18" s="1"/>
  <c r="P73" i="18"/>
  <c r="O73" i="18"/>
  <c r="N71" i="18"/>
  <c r="M71" i="18"/>
  <c r="M69" i="18" s="1"/>
  <c r="L71" i="18"/>
  <c r="P70" i="18"/>
  <c r="O70" i="18"/>
  <c r="P67" i="18"/>
  <c r="N67" i="18"/>
  <c r="M67" i="18"/>
  <c r="L67" i="18"/>
  <c r="J65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L58" i="18"/>
  <c r="L56" i="18" s="1"/>
  <c r="P57" i="18"/>
  <c r="O57" i="18"/>
  <c r="O54" i="18"/>
  <c r="N54" i="18"/>
  <c r="M54" i="18"/>
  <c r="P54" i="18" s="1"/>
  <c r="L54" i="18"/>
  <c r="N49" i="18"/>
  <c r="N47" i="18" s="1"/>
  <c r="M49" i="18"/>
  <c r="L49" i="18"/>
  <c r="O49" i="18" s="1"/>
  <c r="P48" i="18"/>
  <c r="O48" i="18"/>
  <c r="N46" i="18"/>
  <c r="N44" i="18" s="1"/>
  <c r="M46" i="18"/>
  <c r="L46" i="18"/>
  <c r="L44" i="18" s="1"/>
  <c r="P45" i="18"/>
  <c r="O45" i="18"/>
  <c r="P42" i="18"/>
  <c r="N42" i="18"/>
  <c r="M42" i="18"/>
  <c r="L42" i="18"/>
  <c r="N36" i="18"/>
  <c r="M36" i="18"/>
  <c r="P36" i="18" s="1"/>
  <c r="N35" i="18"/>
  <c r="N34" i="18" s="1"/>
  <c r="M35" i="18"/>
  <c r="P35" i="18" s="1"/>
  <c r="L35" i="18"/>
  <c r="O35" i="18" s="1"/>
  <c r="P32" i="18"/>
  <c r="O32" i="18"/>
  <c r="N32" i="18"/>
  <c r="M32" i="18"/>
  <c r="L32" i="18"/>
  <c r="N29" i="18"/>
  <c r="M29" i="18"/>
  <c r="P29" i="18" s="1"/>
  <c r="L29" i="18"/>
  <c r="O29" i="18" s="1"/>
  <c r="O25" i="18"/>
  <c r="N25" i="18"/>
  <c r="M25" i="18"/>
  <c r="L25" i="18"/>
  <c r="N22" i="18"/>
  <c r="M22" i="18"/>
  <c r="L22" i="18"/>
  <c r="N19" i="18"/>
  <c r="L15" i="18"/>
  <c r="O15" i="18" s="1"/>
  <c r="N12" i="18"/>
  <c r="M12" i="18"/>
  <c r="P12" i="18" s="1"/>
  <c r="L15" i="17"/>
  <c r="L22" i="17"/>
  <c r="M22" i="17"/>
  <c r="N22" i="17"/>
  <c r="L25" i="17"/>
  <c r="M25" i="17"/>
  <c r="N25" i="17"/>
  <c r="N15" i="17" s="1"/>
  <c r="O25" i="17"/>
  <c r="P25" i="17"/>
  <c r="L32" i="17"/>
  <c r="M32" i="17"/>
  <c r="N32" i="17"/>
  <c r="N29" i="17" s="1"/>
  <c r="O32" i="17"/>
  <c r="P32" i="17"/>
  <c r="L35" i="17"/>
  <c r="L29" i="17" s="1"/>
  <c r="M35" i="17"/>
  <c r="M15" i="17" s="1"/>
  <c r="N35" i="17"/>
  <c r="N34" i="17" s="1"/>
  <c r="M36" i="17"/>
  <c r="P36" i="17" s="1"/>
  <c r="N36" i="17"/>
  <c r="L42" i="17"/>
  <c r="M42" i="17"/>
  <c r="N42" i="17"/>
  <c r="O42" i="17"/>
  <c r="P42" i="17"/>
  <c r="O45" i="17"/>
  <c r="P45" i="17"/>
  <c r="L46" i="17"/>
  <c r="L44" i="17" s="1"/>
  <c r="M46" i="17"/>
  <c r="M44" i="17" s="1"/>
  <c r="N46" i="17"/>
  <c r="O48" i="17"/>
  <c r="P48" i="17"/>
  <c r="L49" i="17"/>
  <c r="M49" i="17"/>
  <c r="M47" i="17" s="1"/>
  <c r="P47" i="17" s="1"/>
  <c r="N49" i="17"/>
  <c r="N47" i="17" s="1"/>
  <c r="L54" i="17"/>
  <c r="O54" i="17" s="1"/>
  <c r="M54" i="17"/>
  <c r="P54" i="17" s="1"/>
  <c r="N54" i="17"/>
  <c r="O57" i="17"/>
  <c r="P57" i="17"/>
  <c r="L58" i="17"/>
  <c r="M58" i="17"/>
  <c r="N58" i="17"/>
  <c r="O60" i="17"/>
  <c r="P60" i="17"/>
  <c r="L61" i="17"/>
  <c r="L59" i="17" s="1"/>
  <c r="O59" i="17" s="1"/>
  <c r="M61" i="17"/>
  <c r="P61" i="17" s="1"/>
  <c r="N61" i="17"/>
  <c r="N59" i="17" s="1"/>
  <c r="J65" i="17"/>
  <c r="L67" i="17"/>
  <c r="M67" i="17"/>
  <c r="N67" i="17"/>
  <c r="O67" i="17"/>
  <c r="P67" i="17"/>
  <c r="O70" i="17"/>
  <c r="P70" i="17"/>
  <c r="L71" i="17"/>
  <c r="M71" i="17"/>
  <c r="M69" i="17" s="1"/>
  <c r="N71" i="17"/>
  <c r="N69" i="17" s="1"/>
  <c r="O73" i="17"/>
  <c r="P73" i="17"/>
  <c r="L74" i="17"/>
  <c r="O74" i="17" s="1"/>
  <c r="M74" i="17"/>
  <c r="M72" i="17" s="1"/>
  <c r="P72" i="17" s="1"/>
  <c r="N74" i="17"/>
  <c r="N72" i="17" s="1"/>
  <c r="J76" i="17"/>
  <c r="J64" i="17" s="1"/>
  <c r="J77" i="17"/>
  <c r="I78" i="17"/>
  <c r="K78" i="17" s="1"/>
  <c r="I79" i="17"/>
  <c r="K79" i="17" s="1"/>
  <c r="I80" i="17"/>
  <c r="K80" i="17" s="1"/>
  <c r="I81" i="17"/>
  <c r="K81" i="17" s="1"/>
  <c r="I82" i="17"/>
  <c r="I83" i="17"/>
  <c r="K83" i="17" s="1"/>
  <c r="I84" i="17"/>
  <c r="K84" i="17" s="1"/>
  <c r="J87" i="17"/>
  <c r="L89" i="17"/>
  <c r="M89" i="17"/>
  <c r="N89" i="17"/>
  <c r="P89" i="17"/>
  <c r="O92" i="17"/>
  <c r="P92" i="17"/>
  <c r="L93" i="17"/>
  <c r="M93" i="17"/>
  <c r="N93" i="17"/>
  <c r="N91" i="17" s="1"/>
  <c r="O95" i="17"/>
  <c r="P95" i="17"/>
  <c r="L96" i="17"/>
  <c r="M96" i="17"/>
  <c r="P96" i="17" s="1"/>
  <c r="N96" i="17"/>
  <c r="N94" i="17" s="1"/>
  <c r="I98" i="17"/>
  <c r="I86" i="17" s="1"/>
  <c r="K86" i="17" s="1"/>
  <c r="J98" i="17"/>
  <c r="J86" i="17" s="1"/>
  <c r="I99" i="17"/>
  <c r="K99" i="17" s="1"/>
  <c r="J99" i="17"/>
  <c r="I100" i="17"/>
  <c r="J100" i="17"/>
  <c r="I102" i="17"/>
  <c r="K102" i="17" s="1"/>
  <c r="I103" i="17"/>
  <c r="K103" i="17" s="1"/>
  <c r="I104" i="17"/>
  <c r="K104" i="17" s="1"/>
  <c r="I106" i="17"/>
  <c r="K106" i="17" s="1"/>
  <c r="I107" i="17"/>
  <c r="K107" i="17" s="1"/>
  <c r="I109" i="17"/>
  <c r="K109" i="17" s="1"/>
  <c r="I110" i="17"/>
  <c r="K110" i="17" s="1"/>
  <c r="I111" i="17"/>
  <c r="K111" i="17" s="1"/>
  <c r="J111" i="17"/>
  <c r="J112" i="17"/>
  <c r="I113" i="17"/>
  <c r="K113" i="17" s="1"/>
  <c r="I114" i="17"/>
  <c r="K114" i="17" s="1"/>
  <c r="I115" i="17"/>
  <c r="I116" i="17"/>
  <c r="K116" i="17" s="1"/>
  <c r="L120" i="17"/>
  <c r="O120" i="17" s="1"/>
  <c r="M120" i="17"/>
  <c r="P120" i="17" s="1"/>
  <c r="N120" i="17"/>
  <c r="O123" i="17"/>
  <c r="P123" i="17"/>
  <c r="L124" i="17"/>
  <c r="L122" i="17" s="1"/>
  <c r="O122" i="17" s="1"/>
  <c r="M124" i="17"/>
  <c r="P124" i="17" s="1"/>
  <c r="N124" i="17"/>
  <c r="N122" i="17" s="1"/>
  <c r="O126" i="17"/>
  <c r="P126" i="17"/>
  <c r="L127" i="17"/>
  <c r="L125" i="17" s="1"/>
  <c r="O125" i="17" s="1"/>
  <c r="M127" i="17"/>
  <c r="P127" i="17" s="1"/>
  <c r="N127" i="17"/>
  <c r="N125" i="17" s="1"/>
  <c r="J130" i="17"/>
  <c r="L133" i="17"/>
  <c r="M133" i="17"/>
  <c r="N133" i="17"/>
  <c r="O133" i="17"/>
  <c r="P133" i="17"/>
  <c r="O136" i="17"/>
  <c r="P136" i="17"/>
  <c r="L137" i="17"/>
  <c r="M137" i="17"/>
  <c r="N137" i="17"/>
  <c r="N135" i="17" s="1"/>
  <c r="O139" i="17"/>
  <c r="P139" i="17"/>
  <c r="L140" i="17"/>
  <c r="M140" i="17"/>
  <c r="M138" i="17" s="1"/>
  <c r="N140" i="17"/>
  <c r="N138" i="17" s="1"/>
  <c r="I144" i="17"/>
  <c r="K144" i="17" s="1"/>
  <c r="I145" i="17"/>
  <c r="I143" i="17" s="1"/>
  <c r="I146" i="17"/>
  <c r="J148" i="17"/>
  <c r="L150" i="17"/>
  <c r="O150" i="17" s="1"/>
  <c r="M150" i="17"/>
  <c r="P150" i="17" s="1"/>
  <c r="N150" i="17"/>
  <c r="O153" i="17"/>
  <c r="P153" i="17"/>
  <c r="L154" i="17"/>
  <c r="L152" i="17" s="1"/>
  <c r="O152" i="17" s="1"/>
  <c r="M154" i="17"/>
  <c r="P154" i="17" s="1"/>
  <c r="N154" i="17"/>
  <c r="O156" i="17"/>
  <c r="P156" i="17"/>
  <c r="L157" i="17"/>
  <c r="L155" i="17" s="1"/>
  <c r="O155" i="17" s="1"/>
  <c r="M157" i="17"/>
  <c r="P157" i="17" s="1"/>
  <c r="N157" i="17"/>
  <c r="N155" i="17" s="1"/>
  <c r="I159" i="17"/>
  <c r="I148" i="17" s="1"/>
  <c r="K148" i="17" s="1"/>
  <c r="L166" i="17"/>
  <c r="M166" i="17"/>
  <c r="N166" i="17"/>
  <c r="P166" i="17"/>
  <c r="O169" i="17"/>
  <c r="P169" i="17"/>
  <c r="L170" i="17"/>
  <c r="M170" i="17"/>
  <c r="P170" i="17" s="1"/>
  <c r="N170" i="17"/>
  <c r="N168" i="17" s="1"/>
  <c r="O172" i="17"/>
  <c r="P172" i="17"/>
  <c r="L173" i="17"/>
  <c r="M173" i="17"/>
  <c r="P173" i="17" s="1"/>
  <c r="N173" i="17"/>
  <c r="N171" i="17" s="1"/>
  <c r="J174" i="17"/>
  <c r="J164" i="17" s="1"/>
  <c r="I176" i="17"/>
  <c r="K176" i="17" s="1"/>
  <c r="J177" i="17"/>
  <c r="L182" i="17"/>
  <c r="M182" i="17"/>
  <c r="N182" i="17"/>
  <c r="P182" i="17"/>
  <c r="O185" i="17"/>
  <c r="P185" i="17"/>
  <c r="L186" i="17"/>
  <c r="M186" i="17"/>
  <c r="N186" i="17"/>
  <c r="N184" i="17" s="1"/>
  <c r="O188" i="17"/>
  <c r="P188" i="17"/>
  <c r="L189" i="17"/>
  <c r="O189" i="17" s="1"/>
  <c r="M189" i="17"/>
  <c r="P189" i="17" s="1"/>
  <c r="N189" i="17"/>
  <c r="N187" i="17" s="1"/>
  <c r="J190" i="17"/>
  <c r="L191" i="17"/>
  <c r="O191" i="17" s="1"/>
  <c r="P191" i="17"/>
  <c r="I193" i="17"/>
  <c r="K193" i="17" s="1"/>
  <c r="J194" i="17"/>
  <c r="J197" i="17"/>
  <c r="N198" i="17"/>
  <c r="P198" i="17"/>
  <c r="L199" i="17"/>
  <c r="L200" i="17"/>
  <c r="L201" i="17"/>
  <c r="L202" i="17"/>
  <c r="I204" i="17"/>
  <c r="K206" i="17"/>
  <c r="K207" i="17"/>
  <c r="J208" i="17"/>
  <c r="N209" i="17"/>
  <c r="P209" i="17"/>
  <c r="L210" i="17"/>
  <c r="L211" i="17"/>
  <c r="L212" i="17"/>
  <c r="I214" i="17"/>
  <c r="K214" i="17" s="1"/>
  <c r="I215" i="17"/>
  <c r="K215" i="17" s="1"/>
  <c r="J216" i="17"/>
  <c r="N217" i="17"/>
  <c r="P217" i="17"/>
  <c r="L218" i="17"/>
  <c r="L219" i="17"/>
  <c r="L220" i="17"/>
  <c r="I223" i="17"/>
  <c r="K223" i="17" s="1"/>
  <c r="I224" i="17"/>
  <c r="K224" i="17" s="1"/>
  <c r="I225" i="17"/>
  <c r="K225" i="17" s="1"/>
  <c r="N228" i="17"/>
  <c r="N229" i="17"/>
  <c r="N230" i="17"/>
  <c r="N231" i="17"/>
  <c r="J233" i="17"/>
  <c r="I235" i="17"/>
  <c r="J235" i="17"/>
  <c r="K235" i="17"/>
  <c r="I236" i="17"/>
  <c r="K236" i="17" s="1"/>
  <c r="J236" i="17"/>
  <c r="J237" i="17"/>
  <c r="N238" i="17"/>
  <c r="N227" i="17" s="1"/>
  <c r="P238" i="17"/>
  <c r="L239" i="17"/>
  <c r="L240" i="17"/>
  <c r="L241" i="17"/>
  <c r="L242" i="17"/>
  <c r="I244" i="17"/>
  <c r="I237" i="17" s="1"/>
  <c r="K237" i="17" s="1"/>
  <c r="K246" i="17"/>
  <c r="K247" i="17"/>
  <c r="J248" i="17"/>
  <c r="J226" i="17" s="1"/>
  <c r="J180" i="17" s="1"/>
  <c r="N249" i="17"/>
  <c r="P249" i="17"/>
  <c r="L250" i="17"/>
  <c r="L251" i="17"/>
  <c r="L252" i="17"/>
  <c r="L253" i="17"/>
  <c r="I255" i="17"/>
  <c r="K257" i="17"/>
  <c r="K258" i="17"/>
  <c r="J260" i="17"/>
  <c r="L262" i="17"/>
  <c r="O262" i="17" s="1"/>
  <c r="M262" i="17"/>
  <c r="N262" i="17"/>
  <c r="O265" i="17"/>
  <c r="P265" i="17"/>
  <c r="L266" i="17"/>
  <c r="L264" i="17" s="1"/>
  <c r="M266" i="17"/>
  <c r="N266" i="17"/>
  <c r="O268" i="17"/>
  <c r="P268" i="17"/>
  <c r="L269" i="17"/>
  <c r="L267" i="17" s="1"/>
  <c r="O267" i="17" s="1"/>
  <c r="M269" i="17"/>
  <c r="N269" i="17"/>
  <c r="N267" i="17" s="1"/>
  <c r="I271" i="17"/>
  <c r="I260" i="17" s="1"/>
  <c r="K260" i="17" s="1"/>
  <c r="J276" i="17"/>
  <c r="L278" i="17"/>
  <c r="M278" i="17"/>
  <c r="P278" i="17" s="1"/>
  <c r="N278" i="17"/>
  <c r="O278" i="17"/>
  <c r="O281" i="17"/>
  <c r="P281" i="17"/>
  <c r="L282" i="17"/>
  <c r="L280" i="17" s="1"/>
  <c r="M282" i="17"/>
  <c r="N282" i="17"/>
  <c r="N280" i="17" s="1"/>
  <c r="O284" i="17"/>
  <c r="P284" i="17"/>
  <c r="L285" i="17"/>
  <c r="L283" i="17" s="1"/>
  <c r="O283" i="17" s="1"/>
  <c r="M285" i="17"/>
  <c r="M283" i="17" s="1"/>
  <c r="P283" i="17" s="1"/>
  <c r="N285" i="17"/>
  <c r="N283" i="17" s="1"/>
  <c r="I287" i="17"/>
  <c r="I276" i="17" s="1"/>
  <c r="K276" i="17" s="1"/>
  <c r="I288" i="17"/>
  <c r="J288" i="17" s="1"/>
  <c r="K288" i="17" s="1"/>
  <c r="I290" i="17"/>
  <c r="K290" i="17" s="1"/>
  <c r="I291" i="17"/>
  <c r="K291" i="17" s="1"/>
  <c r="I293" i="17"/>
  <c r="K293" i="17" s="1"/>
  <c r="I294" i="17"/>
  <c r="K294" i="17" s="1"/>
  <c r="J297" i="17"/>
  <c r="L299" i="17"/>
  <c r="O299" i="17" s="1"/>
  <c r="M299" i="17"/>
  <c r="N299" i="17"/>
  <c r="O302" i="17"/>
  <c r="P302" i="17"/>
  <c r="L303" i="17"/>
  <c r="O303" i="17" s="1"/>
  <c r="M303" i="17"/>
  <c r="N303" i="17"/>
  <c r="N301" i="17" s="1"/>
  <c r="O305" i="17"/>
  <c r="P305" i="17"/>
  <c r="L306" i="17"/>
  <c r="L304" i="17" s="1"/>
  <c r="O304" i="17" s="1"/>
  <c r="M306" i="17"/>
  <c r="N306" i="17"/>
  <c r="N304" i="17" s="1"/>
  <c r="I309" i="17"/>
  <c r="I297" i="17" s="1"/>
  <c r="K297" i="17" s="1"/>
  <c r="I310" i="17"/>
  <c r="K310" i="17" s="1"/>
  <c r="I311" i="17"/>
  <c r="K311" i="17" s="1"/>
  <c r="I312" i="17"/>
  <c r="K312" i="17" s="1"/>
  <c r="J314" i="17"/>
  <c r="L316" i="17"/>
  <c r="M316" i="17"/>
  <c r="N316" i="17"/>
  <c r="P316" i="17"/>
  <c r="O319" i="17"/>
  <c r="P319" i="17"/>
  <c r="L320" i="17"/>
  <c r="M320" i="17"/>
  <c r="N320" i="17"/>
  <c r="O322" i="17"/>
  <c r="P322" i="17"/>
  <c r="L323" i="17"/>
  <c r="O323" i="17" s="1"/>
  <c r="M323" i="17"/>
  <c r="P323" i="17" s="1"/>
  <c r="N323" i="17"/>
  <c r="N321" i="17" s="1"/>
  <c r="I325" i="17"/>
  <c r="I314" i="17" s="1"/>
  <c r="K314" i="17" s="1"/>
  <c r="I327" i="17"/>
  <c r="L329" i="17"/>
  <c r="M329" i="17"/>
  <c r="N329" i="17"/>
  <c r="O329" i="17"/>
  <c r="P329" i="17"/>
  <c r="O332" i="17"/>
  <c r="P332" i="17"/>
  <c r="L333" i="17"/>
  <c r="M333" i="17"/>
  <c r="M331" i="17" s="1"/>
  <c r="N333" i="17"/>
  <c r="O335" i="17"/>
  <c r="P335" i="17"/>
  <c r="L336" i="17"/>
  <c r="M336" i="17"/>
  <c r="N336" i="17"/>
  <c r="N334" i="17" s="1"/>
  <c r="I338" i="17"/>
  <c r="J338" i="17"/>
  <c r="I340" i="17"/>
  <c r="J340" i="17"/>
  <c r="J341" i="17"/>
  <c r="J342" i="17"/>
  <c r="J343" i="17"/>
  <c r="L346" i="17"/>
  <c r="M346" i="17"/>
  <c r="N346" i="17"/>
  <c r="O346" i="17"/>
  <c r="P346" i="17"/>
  <c r="O349" i="17"/>
  <c r="P349" i="17"/>
  <c r="L350" i="17"/>
  <c r="M350" i="17"/>
  <c r="M348" i="17" s="1"/>
  <c r="N350" i="17"/>
  <c r="N348" i="17" s="1"/>
  <c r="O352" i="17"/>
  <c r="P352" i="17"/>
  <c r="L353" i="17"/>
  <c r="L351" i="17" s="1"/>
  <c r="M353" i="17"/>
  <c r="M351" i="17" s="1"/>
  <c r="N353" i="17"/>
  <c r="I355" i="17"/>
  <c r="J358" i="17"/>
  <c r="K358" i="17"/>
  <c r="I359" i="17"/>
  <c r="J359" i="17"/>
  <c r="I360" i="17"/>
  <c r="J360" i="17"/>
  <c r="J361" i="17"/>
  <c r="K361" i="17"/>
  <c r="I362" i="17"/>
  <c r="J362" i="17"/>
  <c r="J355" i="17" s="1"/>
  <c r="J363" i="17"/>
  <c r="K363" i="17"/>
  <c r="I365" i="17"/>
  <c r="J368" i="17"/>
  <c r="K368" i="17"/>
  <c r="I369" i="17"/>
  <c r="J369" i="17"/>
  <c r="I370" i="17"/>
  <c r="J370" i="17"/>
  <c r="J371" i="17"/>
  <c r="K371" i="17"/>
  <c r="I372" i="17"/>
  <c r="J372" i="17"/>
  <c r="J365" i="17" s="1"/>
  <c r="J373" i="17"/>
  <c r="K373" i="17"/>
  <c r="I374" i="17"/>
  <c r="J377" i="17"/>
  <c r="K377" i="17"/>
  <c r="I378" i="17"/>
  <c r="J378" i="17"/>
  <c r="I379" i="17"/>
  <c r="J379" i="17"/>
  <c r="J380" i="17"/>
  <c r="K380" i="17"/>
  <c r="I381" i="17"/>
  <c r="J381" i="17"/>
  <c r="J374" i="17" s="1"/>
  <c r="J382" i="17"/>
  <c r="K382" i="17"/>
  <c r="I385" i="17"/>
  <c r="J385" i="17"/>
  <c r="I388" i="17"/>
  <c r="J388" i="17"/>
  <c r="K388" i="17"/>
  <c r="L390" i="17"/>
  <c r="M390" i="17"/>
  <c r="N390" i="17"/>
  <c r="O390" i="17"/>
  <c r="P390" i="17"/>
  <c r="O393" i="17"/>
  <c r="P393" i="17"/>
  <c r="L394" i="17"/>
  <c r="O394" i="17" s="1"/>
  <c r="M394" i="17"/>
  <c r="M392" i="17" s="1"/>
  <c r="P392" i="17" s="1"/>
  <c r="N394" i="17"/>
  <c r="O396" i="17"/>
  <c r="P396" i="17"/>
  <c r="L397" i="17"/>
  <c r="L395" i="17" s="1"/>
  <c r="O395" i="17" s="1"/>
  <c r="M397" i="17"/>
  <c r="M395" i="17" s="1"/>
  <c r="P395" i="17" s="1"/>
  <c r="N397" i="17"/>
  <c r="N395" i="17" s="1"/>
  <c r="K399" i="17"/>
  <c r="K400" i="17"/>
  <c r="I401" i="17"/>
  <c r="J401" i="17"/>
  <c r="K401" i="17"/>
  <c r="L403" i="17"/>
  <c r="O403" i="17" s="1"/>
  <c r="M403" i="17"/>
  <c r="N403" i="17"/>
  <c r="O406" i="17"/>
  <c r="P406" i="17"/>
  <c r="L407" i="17"/>
  <c r="O407" i="17" s="1"/>
  <c r="M407" i="17"/>
  <c r="N407" i="17"/>
  <c r="O409" i="17"/>
  <c r="P409" i="17"/>
  <c r="L410" i="17"/>
  <c r="O410" i="17" s="1"/>
  <c r="M410" i="17"/>
  <c r="N410" i="17"/>
  <c r="N408" i="17" s="1"/>
  <c r="K412" i="17"/>
  <c r="K413" i="17"/>
  <c r="L420" i="17"/>
  <c r="M420" i="17"/>
  <c r="P420" i="17" s="1"/>
  <c r="N420" i="17"/>
  <c r="O420" i="17"/>
  <c r="N422" i="17"/>
  <c r="O423" i="17"/>
  <c r="P423" i="17"/>
  <c r="L424" i="17"/>
  <c r="M424" i="17" s="1"/>
  <c r="P424" i="17" s="1"/>
  <c r="N424" i="17"/>
  <c r="M429" i="17"/>
  <c r="N429" i="17"/>
  <c r="P429" i="17"/>
  <c r="O430" i="17"/>
  <c r="P430" i="17"/>
  <c r="L431" i="17"/>
  <c r="O431" i="17" s="1"/>
  <c r="P431" i="17"/>
  <c r="J434" i="17"/>
  <c r="J418" i="17" s="1"/>
  <c r="I435" i="17"/>
  <c r="K435" i="17" s="1"/>
  <c r="I437" i="17"/>
  <c r="K437" i="17" s="1"/>
  <c r="I438" i="17"/>
  <c r="I439" i="17"/>
  <c r="K439" i="17" s="1"/>
  <c r="I440" i="17"/>
  <c r="K440" i="17" s="1"/>
  <c r="I441" i="17"/>
  <c r="K441" i="17" s="1"/>
  <c r="J442" i="17"/>
  <c r="J443" i="17"/>
  <c r="L445" i="17"/>
  <c r="O445" i="17" s="1"/>
  <c r="M445" i="17"/>
  <c r="P445" i="17" s="1"/>
  <c r="N445" i="17"/>
  <c r="N446" i="17"/>
  <c r="O448" i="17"/>
  <c r="P448" i="17"/>
  <c r="L449" i="17"/>
  <c r="L447" i="17" s="1"/>
  <c r="O447" i="17" s="1"/>
  <c r="N449" i="17"/>
  <c r="N447" i="17" s="1"/>
  <c r="M454" i="17"/>
  <c r="N454" i="17"/>
  <c r="P454" i="17"/>
  <c r="O455" i="17"/>
  <c r="P455" i="17"/>
  <c r="L456" i="17"/>
  <c r="L454" i="17" s="1"/>
  <c r="O454" i="17" s="1"/>
  <c r="P456" i="17"/>
  <c r="K458" i="17"/>
  <c r="I460" i="17"/>
  <c r="K460" i="17" s="1"/>
  <c r="I462" i="17"/>
  <c r="I443" i="17" s="1"/>
  <c r="K443" i="17" s="1"/>
  <c r="I463" i="17"/>
  <c r="K463" i="17" s="1"/>
  <c r="I464" i="17"/>
  <c r="K464" i="17" s="1"/>
  <c r="I465" i="17"/>
  <c r="K465" i="17" s="1"/>
  <c r="J465" i="17"/>
  <c r="I466" i="17"/>
  <c r="K466" i="17" s="1"/>
  <c r="J466" i="17"/>
  <c r="L468" i="17"/>
  <c r="M468" i="17"/>
  <c r="N468" i="17"/>
  <c r="O468" i="17"/>
  <c r="P468" i="17"/>
  <c r="O471" i="17"/>
  <c r="P471" i="17"/>
  <c r="L472" i="17"/>
  <c r="M472" i="17" s="1"/>
  <c r="M470" i="17" s="1"/>
  <c r="P470" i="17" s="1"/>
  <c r="N472" i="17"/>
  <c r="N470" i="17" s="1"/>
  <c r="M477" i="17"/>
  <c r="N477" i="17"/>
  <c r="P477" i="17"/>
  <c r="O478" i="17"/>
  <c r="P478" i="17"/>
  <c r="L479" i="17"/>
  <c r="L477" i="17" s="1"/>
  <c r="O477" i="17" s="1"/>
  <c r="P479" i="17"/>
  <c r="I483" i="17"/>
  <c r="K483" i="17" s="1"/>
  <c r="I485" i="17"/>
  <c r="K485" i="17" s="1"/>
  <c r="I487" i="17"/>
  <c r="K487" i="17" s="1"/>
  <c r="I489" i="17"/>
  <c r="K489" i="17" s="1"/>
  <c r="I492" i="17"/>
  <c r="K492" i="17" s="1"/>
  <c r="I495" i="17"/>
  <c r="K495" i="17" s="1"/>
  <c r="I498" i="17"/>
  <c r="K498" i="17" s="1"/>
  <c r="J500" i="17"/>
  <c r="K500" i="17"/>
  <c r="K501" i="17"/>
  <c r="M502" i="17"/>
  <c r="P502" i="17" s="1"/>
  <c r="L503" i="17"/>
  <c r="L502" i="17" s="1"/>
  <c r="O502" i="17" s="1"/>
  <c r="M503" i="17"/>
  <c r="N503" i="17"/>
  <c r="N502" i="17" s="1"/>
  <c r="O503" i="17"/>
  <c r="P503" i="17"/>
  <c r="L504" i="17"/>
  <c r="M504" i="17"/>
  <c r="O504" i="17"/>
  <c r="P504" i="17"/>
  <c r="L505" i="17"/>
  <c r="O505" i="17" s="1"/>
  <c r="M505" i="17"/>
  <c r="N505" i="17"/>
  <c r="P505" i="17"/>
  <c r="O506" i="17"/>
  <c r="P506" i="17"/>
  <c r="N507" i="17"/>
  <c r="N504" i="17" s="1"/>
  <c r="O507" i="17"/>
  <c r="P507" i="17"/>
  <c r="L512" i="17"/>
  <c r="O512" i="17" s="1"/>
  <c r="M512" i="17"/>
  <c r="P512" i="17" s="1"/>
  <c r="N512" i="17"/>
  <c r="O513" i="17"/>
  <c r="P513" i="17"/>
  <c r="O514" i="17"/>
  <c r="P514" i="17"/>
  <c r="K516" i="17"/>
  <c r="J517" i="17"/>
  <c r="J501" i="17" s="1"/>
  <c r="K517" i="17"/>
  <c r="M523" i="17"/>
  <c r="P523" i="17"/>
  <c r="L524" i="17"/>
  <c r="M524" i="17"/>
  <c r="N524" i="17"/>
  <c r="P524" i="17"/>
  <c r="M525" i="17"/>
  <c r="P525" i="17"/>
  <c r="M526" i="17"/>
  <c r="P526" i="17" s="1"/>
  <c r="O527" i="17"/>
  <c r="P527" i="17"/>
  <c r="L528" i="17"/>
  <c r="O528" i="17" s="1"/>
  <c r="N528" i="17"/>
  <c r="N526" i="17" s="1"/>
  <c r="P528" i="17"/>
  <c r="M533" i="17"/>
  <c r="N533" i="17"/>
  <c r="P533" i="17"/>
  <c r="O534" i="17"/>
  <c r="P534" i="17"/>
  <c r="L535" i="17"/>
  <c r="L533" i="17" s="1"/>
  <c r="O533" i="17" s="1"/>
  <c r="P535" i="17"/>
  <c r="I537" i="17"/>
  <c r="K537" i="17" s="1"/>
  <c r="I538" i="17"/>
  <c r="K538" i="17" s="1"/>
  <c r="I539" i="17"/>
  <c r="K539" i="17" s="1"/>
  <c r="I540" i="17"/>
  <c r="K540" i="17" s="1"/>
  <c r="I541" i="17"/>
  <c r="K541" i="17" s="1"/>
  <c r="I542" i="17"/>
  <c r="K542" i="17" s="1"/>
  <c r="L545" i="17"/>
  <c r="M545" i="17"/>
  <c r="P545" i="17" s="1"/>
  <c r="N545" i="17"/>
  <c r="O545" i="17"/>
  <c r="O548" i="17"/>
  <c r="P548" i="17"/>
  <c r="L549" i="17"/>
  <c r="L547" i="17" s="1"/>
  <c r="N549" i="17"/>
  <c r="N547" i="17" s="1"/>
  <c r="M555" i="17"/>
  <c r="N555" i="17"/>
  <c r="P555" i="17"/>
  <c r="O556" i="17"/>
  <c r="P556" i="17"/>
  <c r="L557" i="17"/>
  <c r="L555" i="17" s="1"/>
  <c r="O555" i="17" s="1"/>
  <c r="P557" i="17"/>
  <c r="I560" i="17"/>
  <c r="K560" i="17" s="1"/>
  <c r="J560" i="17"/>
  <c r="I561" i="17"/>
  <c r="K561" i="17" s="1"/>
  <c r="J561" i="17"/>
  <c r="I568" i="17"/>
  <c r="K568" i="17" s="1"/>
  <c r="J568" i="17"/>
  <c r="I569" i="17"/>
  <c r="K569" i="17" s="1"/>
  <c r="J569" i="17"/>
  <c r="I576" i="17"/>
  <c r="I559" i="17" s="1"/>
  <c r="I543" i="17" s="1"/>
  <c r="I577" i="17"/>
  <c r="K577" i="17" s="1"/>
  <c r="J577" i="17"/>
  <c r="J582" i="17"/>
  <c r="J576" i="17" s="1"/>
  <c r="J583" i="17"/>
  <c r="J592" i="17"/>
  <c r="I593" i="17"/>
  <c r="K593" i="17" s="1"/>
  <c r="J593" i="17"/>
  <c r="I594" i="17"/>
  <c r="K594" i="17" s="1"/>
  <c r="J594" i="17"/>
  <c r="J595" i="17"/>
  <c r="J596" i="17"/>
  <c r="J603" i="17"/>
  <c r="J604" i="17"/>
  <c r="J611" i="17"/>
  <c r="K611" i="17"/>
  <c r="J612" i="17"/>
  <c r="K612" i="17"/>
  <c r="J613" i="17"/>
  <c r="K613" i="17"/>
  <c r="I620" i="17"/>
  <c r="K620" i="17" s="1"/>
  <c r="J620" i="17"/>
  <c r="I621" i="17"/>
  <c r="K621" i="17" s="1"/>
  <c r="J621" i="17"/>
  <c r="L630" i="17"/>
  <c r="M630" i="17"/>
  <c r="N630" i="17"/>
  <c r="O630" i="17"/>
  <c r="P630" i="17"/>
  <c r="O633" i="17"/>
  <c r="P633" i="17"/>
  <c r="L634" i="17"/>
  <c r="M634" i="17" s="1"/>
  <c r="N634" i="17"/>
  <c r="N632" i="17" s="1"/>
  <c r="M639" i="17"/>
  <c r="P639" i="17" s="1"/>
  <c r="N639" i="17"/>
  <c r="O640" i="17"/>
  <c r="P640" i="17"/>
  <c r="L641" i="17"/>
  <c r="L639" i="17" s="1"/>
  <c r="O639" i="17" s="1"/>
  <c r="P641" i="17"/>
  <c r="I643" i="17"/>
  <c r="K643" i="17" s="1"/>
  <c r="I644" i="17"/>
  <c r="K644" i="17" s="1"/>
  <c r="J645" i="17"/>
  <c r="K645" i="17"/>
  <c r="J646" i="17"/>
  <c r="K646" i="17"/>
  <c r="I647" i="17"/>
  <c r="J647" i="17"/>
  <c r="J648" i="17"/>
  <c r="K648" i="17"/>
  <c r="I649" i="17"/>
  <c r="J649" i="17"/>
  <c r="J650" i="17"/>
  <c r="K650" i="17"/>
  <c r="I651" i="17"/>
  <c r="I628" i="17" s="1"/>
  <c r="J651" i="17"/>
  <c r="J628" i="17" s="1"/>
  <c r="J652" i="17"/>
  <c r="K652" i="17"/>
  <c r="L656" i="17"/>
  <c r="O656" i="17" s="1"/>
  <c r="M656" i="17"/>
  <c r="N656" i="17"/>
  <c r="O659" i="17"/>
  <c r="P659" i="17"/>
  <c r="L660" i="17"/>
  <c r="L657" i="17" s="1"/>
  <c r="N660" i="17"/>
  <c r="L665" i="17"/>
  <c r="M665" i="17"/>
  <c r="N665" i="17"/>
  <c r="O665" i="17"/>
  <c r="P665" i="17"/>
  <c r="O666" i="17"/>
  <c r="P666" i="17"/>
  <c r="O667" i="17"/>
  <c r="P667" i="17"/>
  <c r="I669" i="17"/>
  <c r="K672" i="17" s="1"/>
  <c r="J669" i="17"/>
  <c r="J654" i="17" s="1"/>
  <c r="I670" i="17"/>
  <c r="K670" i="17" s="1"/>
  <c r="I671" i="17"/>
  <c r="K671" i="17" s="1"/>
  <c r="J675" i="17"/>
  <c r="I678" i="17"/>
  <c r="K678" i="17" s="1"/>
  <c r="J679" i="17"/>
  <c r="J678" i="17" s="1"/>
  <c r="L686" i="17"/>
  <c r="M686" i="17"/>
  <c r="N686" i="17"/>
  <c r="O686" i="17"/>
  <c r="P686" i="17"/>
  <c r="N688" i="17"/>
  <c r="L690" i="17"/>
  <c r="L688" i="17" s="1"/>
  <c r="O688" i="17" s="1"/>
  <c r="N690" i="17"/>
  <c r="N687" i="17" s="1"/>
  <c r="N685" i="17" s="1"/>
  <c r="L695" i="17"/>
  <c r="O695" i="17" s="1"/>
  <c r="M695" i="17"/>
  <c r="P695" i="17" s="1"/>
  <c r="N695" i="17"/>
  <c r="O696" i="17"/>
  <c r="P696" i="17"/>
  <c r="O697" i="17"/>
  <c r="P697" i="17"/>
  <c r="I699" i="17"/>
  <c r="K699" i="17" s="1"/>
  <c r="J699" i="17"/>
  <c r="I700" i="17"/>
  <c r="K700" i="17" s="1"/>
  <c r="J700" i="17"/>
  <c r="I701" i="17"/>
  <c r="J701" i="17"/>
  <c r="I704" i="17"/>
  <c r="I707" i="17"/>
  <c r="I708" i="17"/>
  <c r="K708" i="17" s="1"/>
  <c r="J708" i="17"/>
  <c r="J718" i="17"/>
  <c r="J719" i="17"/>
  <c r="I720" i="17"/>
  <c r="J720" i="17"/>
  <c r="I721" i="17"/>
  <c r="I722" i="17"/>
  <c r="I723" i="17"/>
  <c r="J723" i="17"/>
  <c r="J724" i="17"/>
  <c r="I725" i="17"/>
  <c r="J725" i="17"/>
  <c r="I726" i="17"/>
  <c r="J726" i="17"/>
  <c r="J727" i="17"/>
  <c r="I728" i="17"/>
  <c r="J728" i="17"/>
  <c r="I729" i="17"/>
  <c r="K729" i="17" s="1"/>
  <c r="J729" i="17"/>
  <c r="J736" i="17"/>
  <c r="K736" i="17"/>
  <c r="M737" i="17"/>
  <c r="P737" i="17" s="1"/>
  <c r="L738" i="17"/>
  <c r="L737" i="17" s="1"/>
  <c r="O737" i="17" s="1"/>
  <c r="M738" i="17"/>
  <c r="N738" i="17"/>
  <c r="O738" i="17"/>
  <c r="P738" i="17"/>
  <c r="L739" i="17"/>
  <c r="M739" i="17"/>
  <c r="O739" i="17"/>
  <c r="P739" i="17"/>
  <c r="L740" i="17"/>
  <c r="O740" i="17" s="1"/>
  <c r="M740" i="17"/>
  <c r="N740" i="17"/>
  <c r="P740" i="17"/>
  <c r="O741" i="17"/>
  <c r="P741" i="17"/>
  <c r="N742" i="17"/>
  <c r="N739" i="17" s="1"/>
  <c r="N737" i="17" s="1"/>
  <c r="O742" i="17"/>
  <c r="P742" i="17"/>
  <c r="L747" i="17"/>
  <c r="O747" i="17" s="1"/>
  <c r="M747" i="17"/>
  <c r="P747" i="17" s="1"/>
  <c r="N747" i="17"/>
  <c r="O748" i="17"/>
  <c r="P748" i="17"/>
  <c r="O749" i="17"/>
  <c r="P749" i="17"/>
  <c r="J753" i="17"/>
  <c r="K753" i="17"/>
  <c r="M754" i="17"/>
  <c r="P754" i="17" s="1"/>
  <c r="L755" i="17"/>
  <c r="L754" i="17" s="1"/>
  <c r="O754" i="17" s="1"/>
  <c r="M755" i="17"/>
  <c r="N755" i="17"/>
  <c r="O755" i="17"/>
  <c r="P755" i="17"/>
  <c r="L756" i="17"/>
  <c r="M756" i="17"/>
  <c r="O756" i="17"/>
  <c r="P756" i="17"/>
  <c r="L757" i="17"/>
  <c r="O757" i="17" s="1"/>
  <c r="M757" i="17"/>
  <c r="N757" i="17"/>
  <c r="P757" i="17"/>
  <c r="O758" i="17"/>
  <c r="P758" i="17"/>
  <c r="N759" i="17"/>
  <c r="N756" i="17" s="1"/>
  <c r="N754" i="17" s="1"/>
  <c r="O759" i="17"/>
  <c r="P759" i="17"/>
  <c r="L764" i="17"/>
  <c r="O764" i="17" s="1"/>
  <c r="M764" i="17"/>
  <c r="P764" i="17" s="1"/>
  <c r="N764" i="17"/>
  <c r="O765" i="17"/>
  <c r="P765" i="17"/>
  <c r="O766" i="17"/>
  <c r="P766" i="17"/>
  <c r="J769" i="17"/>
  <c r="K769" i="17"/>
  <c r="M770" i="17"/>
  <c r="P770" i="17" s="1"/>
  <c r="L771" i="17"/>
  <c r="L770" i="17" s="1"/>
  <c r="O770" i="17" s="1"/>
  <c r="M771" i="17"/>
  <c r="N771" i="17"/>
  <c r="O771" i="17"/>
  <c r="P771" i="17"/>
  <c r="L772" i="17"/>
  <c r="M772" i="17"/>
  <c r="O772" i="17"/>
  <c r="P772" i="17"/>
  <c r="L773" i="17"/>
  <c r="O773" i="17" s="1"/>
  <c r="M773" i="17"/>
  <c r="N773" i="17"/>
  <c r="P773" i="17"/>
  <c r="O774" i="17"/>
  <c r="P774" i="17"/>
  <c r="N775" i="17"/>
  <c r="N772" i="17" s="1"/>
  <c r="N770" i="17" s="1"/>
  <c r="O775" i="17"/>
  <c r="P775" i="17"/>
  <c r="L780" i="17"/>
  <c r="O780" i="17" s="1"/>
  <c r="M780" i="17"/>
  <c r="P780" i="17" s="1"/>
  <c r="N780" i="17"/>
  <c r="O781" i="17"/>
  <c r="P781" i="17"/>
  <c r="O782" i="17"/>
  <c r="P782" i="17"/>
  <c r="M786" i="17"/>
  <c r="P786" i="17" s="1"/>
  <c r="L787" i="17"/>
  <c r="M787" i="17"/>
  <c r="P787" i="17" s="1"/>
  <c r="N787" i="17"/>
  <c r="N786" i="17" s="1"/>
  <c r="O787" i="17"/>
  <c r="M788" i="17"/>
  <c r="N788" i="17"/>
  <c r="P788" i="17"/>
  <c r="M789" i="17"/>
  <c r="P789" i="17"/>
  <c r="O790" i="17"/>
  <c r="P790" i="17"/>
  <c r="L791" i="17"/>
  <c r="L789" i="17" s="1"/>
  <c r="O789" i="17" s="1"/>
  <c r="N791" i="17"/>
  <c r="N789" i="17" s="1"/>
  <c r="P791" i="17"/>
  <c r="L796" i="17"/>
  <c r="O796" i="17" s="1"/>
  <c r="M796" i="17"/>
  <c r="N796" i="17"/>
  <c r="P796" i="17"/>
  <c r="O797" i="17"/>
  <c r="P797" i="17"/>
  <c r="O798" i="17"/>
  <c r="P798" i="17"/>
  <c r="I800" i="17"/>
  <c r="K800" i="17" s="1"/>
  <c r="J800" i="17"/>
  <c r="J785" i="17" s="1"/>
  <c r="J801" i="17"/>
  <c r="K802" i="17"/>
  <c r="J804" i="17"/>
  <c r="K804" i="17"/>
  <c r="L805" i="17"/>
  <c r="O805" i="17" s="1"/>
  <c r="M805" i="17"/>
  <c r="P805" i="17" s="1"/>
  <c r="L806" i="17"/>
  <c r="M806" i="17"/>
  <c r="P806" i="17" s="1"/>
  <c r="N806" i="17"/>
  <c r="N805" i="17" s="1"/>
  <c r="O806" i="17"/>
  <c r="L807" i="17"/>
  <c r="M807" i="17"/>
  <c r="N807" i="17"/>
  <c r="O807" i="17"/>
  <c r="P807" i="17"/>
  <c r="L808" i="17"/>
  <c r="M808" i="17"/>
  <c r="O808" i="17"/>
  <c r="P808" i="17"/>
  <c r="O809" i="17"/>
  <c r="P809" i="17"/>
  <c r="N810" i="17"/>
  <c r="N808" i="17" s="1"/>
  <c r="O810" i="17"/>
  <c r="P810" i="17"/>
  <c r="L815" i="17"/>
  <c r="O815" i="17" s="1"/>
  <c r="M815" i="17"/>
  <c r="P815" i="17" s="1"/>
  <c r="N815" i="17"/>
  <c r="O816" i="17"/>
  <c r="P816" i="17"/>
  <c r="O817" i="17"/>
  <c r="P817" i="17"/>
  <c r="H820" i="17"/>
  <c r="I821" i="17"/>
  <c r="J821" i="17"/>
  <c r="I822" i="17"/>
  <c r="J822" i="17"/>
  <c r="I823" i="17"/>
  <c r="J823" i="17"/>
  <c r="I824" i="17"/>
  <c r="J824" i="17"/>
  <c r="I825" i="17"/>
  <c r="J825" i="17"/>
  <c r="I826" i="17"/>
  <c r="J826" i="17"/>
  <c r="I827" i="17"/>
  <c r="J827" i="17"/>
  <c r="I828" i="17"/>
  <c r="J828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O808" i="16"/>
  <c r="N808" i="16"/>
  <c r="M808" i="16"/>
  <c r="P808" i="16" s="1"/>
  <c r="L808" i="16"/>
  <c r="N807" i="16"/>
  <c r="N805" i="16" s="1"/>
  <c r="M807" i="16"/>
  <c r="P807" i="16" s="1"/>
  <c r="L807" i="16"/>
  <c r="O807" i="16" s="1"/>
  <c r="N806" i="16"/>
  <c r="M806" i="16"/>
  <c r="P806" i="16" s="1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N796" i="16"/>
  <c r="M796" i="16"/>
  <c r="P796" i="16" s="1"/>
  <c r="L796" i="16"/>
  <c r="O796" i="16" s="1"/>
  <c r="N791" i="16"/>
  <c r="N789" i="16" s="1"/>
  <c r="L791" i="16"/>
  <c r="O791" i="16" s="1"/>
  <c r="P790" i="16"/>
  <c r="O790" i="16"/>
  <c r="N788" i="16"/>
  <c r="N786" i="16" s="1"/>
  <c r="P787" i="16"/>
  <c r="O787" i="16"/>
  <c r="N787" i="16"/>
  <c r="M787" i="16"/>
  <c r="L787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M773" i="16"/>
  <c r="P773" i="16" s="1"/>
  <c r="L773" i="16"/>
  <c r="O773" i="16" s="1"/>
  <c r="M772" i="16"/>
  <c r="P772" i="16" s="1"/>
  <c r="L772" i="16"/>
  <c r="O772" i="16" s="1"/>
  <c r="P771" i="16"/>
  <c r="N771" i="16"/>
  <c r="M771" i="16"/>
  <c r="L771" i="16"/>
  <c r="O771" i="16" s="1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M757" i="16"/>
  <c r="P757" i="16" s="1"/>
  <c r="L757" i="16"/>
  <c r="O757" i="16" s="1"/>
  <c r="M756" i="16"/>
  <c r="P756" i="16" s="1"/>
  <c r="L756" i="16"/>
  <c r="O756" i="16" s="1"/>
  <c r="P755" i="16"/>
  <c r="N755" i="16"/>
  <c r="M755" i="16"/>
  <c r="L755" i="16"/>
  <c r="O755" i="16" s="1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P741" i="16"/>
  <c r="O741" i="16"/>
  <c r="M740" i="16"/>
  <c r="P740" i="16" s="1"/>
  <c r="L740" i="16"/>
  <c r="O740" i="16" s="1"/>
  <c r="M739" i="16"/>
  <c r="P739" i="16" s="1"/>
  <c r="L739" i="16"/>
  <c r="O739" i="16" s="1"/>
  <c r="P738" i="16"/>
  <c r="N738" i="16"/>
  <c r="M738" i="16"/>
  <c r="L738" i="16"/>
  <c r="O738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P695" i="16"/>
  <c r="O695" i="16"/>
  <c r="N695" i="16"/>
  <c r="M695" i="16"/>
  <c r="L695" i="16"/>
  <c r="N690" i="16"/>
  <c r="L690" i="16"/>
  <c r="M690" i="16" s="1"/>
  <c r="P690" i="16" s="1"/>
  <c r="P686" i="16"/>
  <c r="N686" i="16"/>
  <c r="M686" i="16"/>
  <c r="L686" i="16"/>
  <c r="O686" i="16" s="1"/>
  <c r="J679" i="16"/>
  <c r="J678" i="16" s="1"/>
  <c r="I678" i="16"/>
  <c r="K678" i="16" s="1"/>
  <c r="J675" i="16"/>
  <c r="I671" i="16"/>
  <c r="K671" i="16" s="1"/>
  <c r="I670" i="16"/>
  <c r="K670" i="16" s="1"/>
  <c r="J669" i="16"/>
  <c r="J654" i="16" s="1"/>
  <c r="I669" i="16"/>
  <c r="K675" i="16" s="1"/>
  <c r="P667" i="16"/>
  <c r="O667" i="16"/>
  <c r="P666" i="16"/>
  <c r="O666" i="16"/>
  <c r="P665" i="16"/>
  <c r="N665" i="16"/>
  <c r="M665" i="16"/>
  <c r="L665" i="16"/>
  <c r="O665" i="16" s="1"/>
  <c r="N660" i="16"/>
  <c r="L660" i="16"/>
  <c r="O660" i="16" s="1"/>
  <c r="P659" i="16"/>
  <c r="O659" i="16"/>
  <c r="N658" i="16"/>
  <c r="N657" i="16"/>
  <c r="P656" i="16"/>
  <c r="O656" i="16"/>
  <c r="N656" i="16"/>
  <c r="M656" i="16"/>
  <c r="L656" i="16"/>
  <c r="N655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L639" i="16" s="1"/>
  <c r="O639" i="16" s="1"/>
  <c r="P640" i="16"/>
  <c r="O640" i="16"/>
  <c r="N639" i="16"/>
  <c r="M639" i="16"/>
  <c r="P639" i="16" s="1"/>
  <c r="N634" i="16"/>
  <c r="L634" i="16"/>
  <c r="L632" i="16" s="1"/>
  <c r="P633" i="16"/>
  <c r="O633" i="16"/>
  <c r="N632" i="16"/>
  <c r="N631" i="16"/>
  <c r="N629" i="16" s="1"/>
  <c r="N630" i="16"/>
  <c r="M630" i="16"/>
  <c r="P630" i="16" s="1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J593" i="16" s="1"/>
  <c r="J592" i="16" s="1"/>
  <c r="I594" i="16"/>
  <c r="K594" i="16" s="1"/>
  <c r="I593" i="16"/>
  <c r="J583" i="16"/>
  <c r="J582" i="16"/>
  <c r="J576" i="16" s="1"/>
  <c r="J559" i="16" s="1"/>
  <c r="J543" i="16" s="1"/>
  <c r="J577" i="16"/>
  <c r="I577" i="16"/>
  <c r="K577" i="16" s="1"/>
  <c r="I576" i="16"/>
  <c r="I559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O557" i="16" s="1"/>
  <c r="P556" i="16"/>
  <c r="O556" i="16"/>
  <c r="N555" i="16"/>
  <c r="M555" i="16"/>
  <c r="P555" i="16" s="1"/>
  <c r="N549" i="16"/>
  <c r="N547" i="16" s="1"/>
  <c r="L549" i="16"/>
  <c r="O549" i="16" s="1"/>
  <c r="P548" i="16"/>
  <c r="O548" i="16"/>
  <c r="N546" i="16"/>
  <c r="N544" i="16" s="1"/>
  <c r="O545" i="16"/>
  <c r="N545" i="16"/>
  <c r="L545" i="16"/>
  <c r="I542" i="16"/>
  <c r="K542" i="16" s="1"/>
  <c r="I541" i="16"/>
  <c r="K541" i="16" s="1"/>
  <c r="I540" i="16"/>
  <c r="K540" i="16" s="1"/>
  <c r="I539" i="16"/>
  <c r="I538" i="16"/>
  <c r="K538" i="16" s="1"/>
  <c r="I537" i="16"/>
  <c r="K537" i="16" s="1"/>
  <c r="P535" i="16"/>
  <c r="L535" i="16"/>
  <c r="O535" i="16" s="1"/>
  <c r="P534" i="16"/>
  <c r="O534" i="16"/>
  <c r="P533" i="16"/>
  <c r="N533" i="16"/>
  <c r="M533" i="16"/>
  <c r="L533" i="16"/>
  <c r="O533" i="16" s="1"/>
  <c r="P528" i="16"/>
  <c r="N528" i="16"/>
  <c r="L528" i="16"/>
  <c r="O528" i="16" s="1"/>
  <c r="P527" i="16"/>
  <c r="O527" i="16"/>
  <c r="P526" i="16"/>
  <c r="N526" i="16"/>
  <c r="M526" i="16"/>
  <c r="P525" i="16"/>
  <c r="N525" i="16"/>
  <c r="M525" i="16"/>
  <c r="O524" i="16"/>
  <c r="N524" i="16"/>
  <c r="N523" i="16" s="1"/>
  <c r="M524" i="16"/>
  <c r="P524" i="16" s="1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P506" i="16"/>
  <c r="O506" i="16"/>
  <c r="O505" i="16"/>
  <c r="N505" i="16"/>
  <c r="M505" i="16"/>
  <c r="P505" i="16" s="1"/>
  <c r="L505" i="16"/>
  <c r="N504" i="16"/>
  <c r="N502" i="16" s="1"/>
  <c r="M504" i="16"/>
  <c r="P504" i="16" s="1"/>
  <c r="L504" i="16"/>
  <c r="O504" i="16" s="1"/>
  <c r="N503" i="16"/>
  <c r="M503" i="16"/>
  <c r="P503" i="16" s="1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L477" i="16" s="1"/>
  <c r="O477" i="16" s="1"/>
  <c r="P478" i="16"/>
  <c r="O478" i="16"/>
  <c r="P477" i="16"/>
  <c r="N477" i="16"/>
  <c r="M477" i="16"/>
  <c r="N472" i="16"/>
  <c r="N469" i="16" s="1"/>
  <c r="L472" i="16"/>
  <c r="L470" i="16" s="1"/>
  <c r="P471" i="16"/>
  <c r="O471" i="16"/>
  <c r="N468" i="16"/>
  <c r="M468" i="16"/>
  <c r="L468" i="16"/>
  <c r="O468" i="16" s="1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60" i="16"/>
  <c r="K460" i="16" s="1"/>
  <c r="K458" i="16"/>
  <c r="P456" i="16"/>
  <c r="L456" i="16"/>
  <c r="P455" i="16"/>
  <c r="O455" i="16"/>
  <c r="N454" i="16"/>
  <c r="M454" i="16"/>
  <c r="P454" i="16" s="1"/>
  <c r="N449" i="16"/>
  <c r="L449" i="16"/>
  <c r="L446" i="16" s="1"/>
  <c r="O446" i="16" s="1"/>
  <c r="P448" i="16"/>
  <c r="O448" i="16"/>
  <c r="N447" i="16"/>
  <c r="N446" i="16"/>
  <c r="N445" i="16"/>
  <c r="M445" i="16"/>
  <c r="P445" i="16" s="1"/>
  <c r="L445" i="16"/>
  <c r="O445" i="16" s="1"/>
  <c r="N444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I433" i="16" s="1"/>
  <c r="I417" i="16" s="1"/>
  <c r="J434" i="16"/>
  <c r="J418" i="16" s="1"/>
  <c r="P431" i="16"/>
  <c r="L431" i="16"/>
  <c r="P430" i="16"/>
  <c r="O430" i="16"/>
  <c r="N429" i="16"/>
  <c r="M429" i="16"/>
  <c r="P429" i="16" s="1"/>
  <c r="N424" i="16"/>
  <c r="L424" i="16"/>
  <c r="O424" i="16" s="1"/>
  <c r="P423" i="16"/>
  <c r="O423" i="16"/>
  <c r="N422" i="16"/>
  <c r="N421" i="16"/>
  <c r="N419" i="16" s="1"/>
  <c r="N420" i="16"/>
  <c r="M420" i="16"/>
  <c r="P420" i="16" s="1"/>
  <c r="L420" i="16"/>
  <c r="K413" i="16"/>
  <c r="K412" i="16"/>
  <c r="N410" i="16"/>
  <c r="N408" i="16" s="1"/>
  <c r="M410" i="16"/>
  <c r="P410" i="16" s="1"/>
  <c r="L410" i="16"/>
  <c r="O410" i="16" s="1"/>
  <c r="P409" i="16"/>
  <c r="O409" i="16"/>
  <c r="N407" i="16"/>
  <c r="N405" i="16" s="1"/>
  <c r="M407" i="16"/>
  <c r="P407" i="16" s="1"/>
  <c r="L407" i="16"/>
  <c r="O407" i="16" s="1"/>
  <c r="P406" i="16"/>
  <c r="O406" i="16"/>
  <c r="P403" i="16"/>
  <c r="N403" i="16"/>
  <c r="M403" i="16"/>
  <c r="L403" i="16"/>
  <c r="O403" i="16" s="1"/>
  <c r="J401" i="16"/>
  <c r="I401" i="16"/>
  <c r="K401" i="16" s="1"/>
  <c r="K400" i="16"/>
  <c r="K399" i="16"/>
  <c r="N397" i="16"/>
  <c r="N395" i="16" s="1"/>
  <c r="M397" i="16"/>
  <c r="L397" i="16"/>
  <c r="O397" i="16" s="1"/>
  <c r="P396" i="16"/>
  <c r="O396" i="16"/>
  <c r="N394" i="16"/>
  <c r="N392" i="16" s="1"/>
  <c r="M394" i="16"/>
  <c r="L394" i="16"/>
  <c r="L392" i="16" s="1"/>
  <c r="O392" i="16" s="1"/>
  <c r="P393" i="16"/>
  <c r="O393" i="16"/>
  <c r="N390" i="16"/>
  <c r="M390" i="16"/>
  <c r="P390" i="16" s="1"/>
  <c r="L390" i="16"/>
  <c r="K388" i="16"/>
  <c r="J388" i="16"/>
  <c r="I388" i="16"/>
  <c r="J385" i="16"/>
  <c r="I385" i="16"/>
  <c r="K382" i="16"/>
  <c r="J382" i="16"/>
  <c r="J381" i="16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L351" i="16" s="1"/>
  <c r="P352" i="16"/>
  <c r="O352" i="16"/>
  <c r="N350" i="16"/>
  <c r="N348" i="16" s="1"/>
  <c r="M350" i="16"/>
  <c r="L350" i="16"/>
  <c r="L348" i="16" s="1"/>
  <c r="P349" i="16"/>
  <c r="O349" i="16"/>
  <c r="P346" i="16"/>
  <c r="N346" i="16"/>
  <c r="M346" i="16"/>
  <c r="L346" i="16"/>
  <c r="J343" i="16"/>
  <c r="J342" i="16"/>
  <c r="J341" i="16"/>
  <c r="J340" i="16"/>
  <c r="I340" i="16"/>
  <c r="J338" i="16"/>
  <c r="I338" i="16"/>
  <c r="N336" i="16"/>
  <c r="M336" i="16"/>
  <c r="L336" i="16"/>
  <c r="O336" i="16" s="1"/>
  <c r="P335" i="16"/>
  <c r="O335" i="16"/>
  <c r="N333" i="16"/>
  <c r="N331" i="16" s="1"/>
  <c r="M333" i="16"/>
  <c r="L333" i="16"/>
  <c r="L331" i="16" s="1"/>
  <c r="P332" i="16"/>
  <c r="O332" i="16"/>
  <c r="P329" i="16"/>
  <c r="N329" i="16"/>
  <c r="M329" i="16"/>
  <c r="L329" i="16"/>
  <c r="I327" i="16"/>
  <c r="I325" i="16"/>
  <c r="N323" i="16"/>
  <c r="N321" i="16" s="1"/>
  <c r="M323" i="16"/>
  <c r="P323" i="16" s="1"/>
  <c r="L323" i="16"/>
  <c r="L321" i="16" s="1"/>
  <c r="O321" i="16" s="1"/>
  <c r="P322" i="16"/>
  <c r="O322" i="16"/>
  <c r="N320" i="16"/>
  <c r="N318" i="16" s="1"/>
  <c r="M320" i="16"/>
  <c r="P320" i="16" s="1"/>
  <c r="L320" i="16"/>
  <c r="L318" i="16" s="1"/>
  <c r="O318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O306" i="16" s="1"/>
  <c r="P305" i="16"/>
  <c r="O305" i="16"/>
  <c r="N303" i="16"/>
  <c r="N301" i="16" s="1"/>
  <c r="M303" i="16"/>
  <c r="L303" i="16"/>
  <c r="L301" i="16" s="1"/>
  <c r="P302" i="16"/>
  <c r="O302" i="16"/>
  <c r="N299" i="16"/>
  <c r="M299" i="16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P285" i="16" s="1"/>
  <c r="L285" i="16"/>
  <c r="L283" i="16" s="1"/>
  <c r="O283" i="16" s="1"/>
  <c r="P284" i="16"/>
  <c r="O284" i="16"/>
  <c r="N282" i="16"/>
  <c r="N280" i="16" s="1"/>
  <c r="M282" i="16"/>
  <c r="L282" i="16"/>
  <c r="L280" i="16" s="1"/>
  <c r="P281" i="16"/>
  <c r="O281" i="16"/>
  <c r="O278" i="16"/>
  <c r="N278" i="16"/>
  <c r="M278" i="16"/>
  <c r="L278" i="16"/>
  <c r="J276" i="16"/>
  <c r="I271" i="16"/>
  <c r="N269" i="16"/>
  <c r="N267" i="16" s="1"/>
  <c r="M269" i="16"/>
  <c r="L269" i="16"/>
  <c r="O269" i="16" s="1"/>
  <c r="P268" i="16"/>
  <c r="O268" i="16"/>
  <c r="N266" i="16"/>
  <c r="M266" i="16"/>
  <c r="L266" i="16"/>
  <c r="L264" i="16" s="1"/>
  <c r="P265" i="16"/>
  <c r="O265" i="16"/>
  <c r="P262" i="16"/>
  <c r="N262" i="16"/>
  <c r="M262" i="16"/>
  <c r="L262" i="16"/>
  <c r="O262" i="16" s="1"/>
  <c r="J260" i="16"/>
  <c r="K258" i="16"/>
  <c r="K257" i="16"/>
  <c r="I255" i="16"/>
  <c r="I248" i="16" s="1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J237" i="16"/>
  <c r="K236" i="16"/>
  <c r="J236" i="16"/>
  <c r="I236" i="16"/>
  <c r="K235" i="16"/>
  <c r="J235" i="16"/>
  <c r="I235" i="16"/>
  <c r="J233" i="16"/>
  <c r="N231" i="16"/>
  <c r="N230" i="16"/>
  <c r="N229" i="16"/>
  <c r="N228" i="16"/>
  <c r="N227" i="16"/>
  <c r="J226" i="16"/>
  <c r="J180" i="16" s="1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P189" i="16" s="1"/>
  <c r="L189" i="16"/>
  <c r="O189" i="16" s="1"/>
  <c r="P188" i="16"/>
  <c r="O188" i="16"/>
  <c r="N186" i="16"/>
  <c r="M186" i="16"/>
  <c r="M184" i="16" s="1"/>
  <c r="L186" i="16"/>
  <c r="L184" i="16" s="1"/>
  <c r="P185" i="16"/>
  <c r="O185" i="16"/>
  <c r="N182" i="16"/>
  <c r="M182" i="16"/>
  <c r="P182" i="16" s="1"/>
  <c r="L182" i="16"/>
  <c r="O182" i="16" s="1"/>
  <c r="J177" i="16"/>
  <c r="I176" i="16"/>
  <c r="K176" i="16" s="1"/>
  <c r="J174" i="16"/>
  <c r="N173" i="16"/>
  <c r="N171" i="16" s="1"/>
  <c r="M173" i="16"/>
  <c r="P173" i="16" s="1"/>
  <c r="L173" i="16"/>
  <c r="O173" i="16" s="1"/>
  <c r="P172" i="16"/>
  <c r="O172" i="16"/>
  <c r="N170" i="16"/>
  <c r="N168" i="16" s="1"/>
  <c r="M170" i="16"/>
  <c r="M168" i="16" s="1"/>
  <c r="L170" i="16"/>
  <c r="P169" i="16"/>
  <c r="O169" i="16"/>
  <c r="P166" i="16"/>
  <c r="N166" i="16"/>
  <c r="M166" i="16"/>
  <c r="L166" i="16"/>
  <c r="J164" i="16"/>
  <c r="I159" i="16"/>
  <c r="K159" i="16" s="1"/>
  <c r="N157" i="16"/>
  <c r="N155" i="16" s="1"/>
  <c r="M157" i="16"/>
  <c r="L157" i="16"/>
  <c r="O157" i="16" s="1"/>
  <c r="P156" i="16"/>
  <c r="O156" i="16"/>
  <c r="N154" i="16"/>
  <c r="N152" i="16" s="1"/>
  <c r="M154" i="16"/>
  <c r="M152" i="16" s="1"/>
  <c r="P152" i="16" s="1"/>
  <c r="L154" i="16"/>
  <c r="O154" i="16" s="1"/>
  <c r="P153" i="16"/>
  <c r="O153" i="16"/>
  <c r="P150" i="16"/>
  <c r="N150" i="16"/>
  <c r="M150" i="16"/>
  <c r="L150" i="16"/>
  <c r="O150" i="16" s="1"/>
  <c r="J148" i="16"/>
  <c r="I146" i="16"/>
  <c r="K146" i="16" s="1"/>
  <c r="I145" i="16"/>
  <c r="I143" i="16" s="1"/>
  <c r="I144" i="16"/>
  <c r="K144" i="16" s="1"/>
  <c r="N140" i="16"/>
  <c r="N138" i="16" s="1"/>
  <c r="M140" i="16"/>
  <c r="P140" i="16" s="1"/>
  <c r="L140" i="16"/>
  <c r="O140" i="16" s="1"/>
  <c r="P139" i="16"/>
  <c r="O139" i="16"/>
  <c r="N137" i="16"/>
  <c r="N135" i="16" s="1"/>
  <c r="M137" i="16"/>
  <c r="L137" i="16"/>
  <c r="O137" i="16" s="1"/>
  <c r="P136" i="16"/>
  <c r="O136" i="16"/>
  <c r="P133" i="16"/>
  <c r="N133" i="16"/>
  <c r="M133" i="16"/>
  <c r="L133" i="16"/>
  <c r="J130" i="16"/>
  <c r="I130" i="16"/>
  <c r="K130" i="16" s="1"/>
  <c r="N127" i="16"/>
  <c r="N125" i="16" s="1"/>
  <c r="M127" i="16"/>
  <c r="M125" i="16" s="1"/>
  <c r="P125" i="16" s="1"/>
  <c r="L127" i="16"/>
  <c r="O127" i="16" s="1"/>
  <c r="P126" i="16"/>
  <c r="O126" i="16"/>
  <c r="N124" i="16"/>
  <c r="M124" i="16"/>
  <c r="M122" i="16" s="1"/>
  <c r="P122" i="16" s="1"/>
  <c r="L124" i="16"/>
  <c r="L122" i="16" s="1"/>
  <c r="O122" i="16" s="1"/>
  <c r="P123" i="16"/>
  <c r="O123" i="16"/>
  <c r="P120" i="16"/>
  <c r="N120" i="16"/>
  <c r="M120" i="16"/>
  <c r="L120" i="16"/>
  <c r="K118" i="16"/>
  <c r="J118" i="16"/>
  <c r="I116" i="16"/>
  <c r="K116" i="16" s="1"/>
  <c r="I115" i="16"/>
  <c r="I114" i="16"/>
  <c r="K114" i="16" s="1"/>
  <c r="I113" i="16"/>
  <c r="K113" i="16" s="1"/>
  <c r="J112" i="16"/>
  <c r="J111" i="16"/>
  <c r="I111" i="16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K99" i="16" s="1"/>
  <c r="J98" i="16"/>
  <c r="I98" i="16"/>
  <c r="N96" i="16"/>
  <c r="M96" i="16"/>
  <c r="M94" i="16" s="1"/>
  <c r="P94" i="16" s="1"/>
  <c r="L96" i="16"/>
  <c r="O96" i="16" s="1"/>
  <c r="P95" i="16"/>
  <c r="O95" i="16"/>
  <c r="N93" i="16"/>
  <c r="N91" i="16" s="1"/>
  <c r="M93" i="16"/>
  <c r="M91" i="16" s="1"/>
  <c r="L93" i="16"/>
  <c r="P92" i="16"/>
  <c r="O92" i="16"/>
  <c r="P89" i="16"/>
  <c r="N89" i="16"/>
  <c r="M89" i="16"/>
  <c r="L89" i="16"/>
  <c r="O89" i="16" s="1"/>
  <c r="J86" i="16"/>
  <c r="I84" i="16"/>
  <c r="K84" i="16" s="1"/>
  <c r="I83" i="16"/>
  <c r="K83" i="16" s="1"/>
  <c r="I82" i="16"/>
  <c r="K82" i="16" s="1"/>
  <c r="I81" i="16"/>
  <c r="K81" i="16" s="1"/>
  <c r="I80" i="16"/>
  <c r="I79" i="16"/>
  <c r="I78" i="16"/>
  <c r="K78" i="16" s="1"/>
  <c r="J77" i="16"/>
  <c r="J65" i="16" s="1"/>
  <c r="J76" i="16"/>
  <c r="J64" i="16" s="1"/>
  <c r="N74" i="16"/>
  <c r="M74" i="16"/>
  <c r="P74" i="16" s="1"/>
  <c r="L74" i="16"/>
  <c r="L72" i="16" s="1"/>
  <c r="O72" i="16" s="1"/>
  <c r="P73" i="16"/>
  <c r="O73" i="16"/>
  <c r="N71" i="16"/>
  <c r="N69" i="16" s="1"/>
  <c r="M71" i="16"/>
  <c r="L71" i="16"/>
  <c r="L69" i="16" s="1"/>
  <c r="O69" i="16" s="1"/>
  <c r="P70" i="16"/>
  <c r="O70" i="16"/>
  <c r="O67" i="16"/>
  <c r="N67" i="16"/>
  <c r="M67" i="16"/>
  <c r="L67" i="16"/>
  <c r="N61" i="16"/>
  <c r="N59" i="16" s="1"/>
  <c r="M61" i="16"/>
  <c r="M59" i="16" s="1"/>
  <c r="L61" i="16"/>
  <c r="L59" i="16" s="1"/>
  <c r="P60" i="16"/>
  <c r="O60" i="16"/>
  <c r="N58" i="16"/>
  <c r="N56" i="16" s="1"/>
  <c r="M58" i="16"/>
  <c r="L58" i="16"/>
  <c r="L56" i="16" s="1"/>
  <c r="P57" i="16"/>
  <c r="O57" i="16"/>
  <c r="P54" i="16"/>
  <c r="N54" i="16"/>
  <c r="M54" i="16"/>
  <c r="L54" i="16"/>
  <c r="N49" i="16"/>
  <c r="N47" i="16" s="1"/>
  <c r="M49" i="16"/>
  <c r="P49" i="16" s="1"/>
  <c r="L49" i="16"/>
  <c r="L47" i="16" s="1"/>
  <c r="O47" i="16" s="1"/>
  <c r="P48" i="16"/>
  <c r="O48" i="16"/>
  <c r="N46" i="16"/>
  <c r="M46" i="16"/>
  <c r="M44" i="16" s="1"/>
  <c r="L46" i="16"/>
  <c r="L44" i="16" s="1"/>
  <c r="P45" i="16"/>
  <c r="O45" i="16"/>
  <c r="O42" i="16"/>
  <c r="N42" i="16"/>
  <c r="M42" i="16"/>
  <c r="P42" i="16" s="1"/>
  <c r="L42" i="16"/>
  <c r="P36" i="16"/>
  <c r="N36" i="16"/>
  <c r="M36" i="16"/>
  <c r="O35" i="16"/>
  <c r="N35" i="16"/>
  <c r="N34" i="16" s="1"/>
  <c r="M35" i="16"/>
  <c r="P35" i="16" s="1"/>
  <c r="L35" i="16"/>
  <c r="P34" i="16"/>
  <c r="M34" i="16"/>
  <c r="N33" i="16"/>
  <c r="N30" i="16" s="1"/>
  <c r="P32" i="16"/>
  <c r="N32" i="16"/>
  <c r="N29" i="16" s="1"/>
  <c r="N28" i="16" s="1"/>
  <c r="M32" i="16"/>
  <c r="L32" i="16"/>
  <c r="M29" i="16"/>
  <c r="P25" i="16"/>
  <c r="N25" i="16"/>
  <c r="N15" i="16" s="1"/>
  <c r="M25" i="16"/>
  <c r="L25" i="16"/>
  <c r="O25" i="16" s="1"/>
  <c r="O22" i="16"/>
  <c r="N22" i="16"/>
  <c r="M22" i="16"/>
  <c r="L22" i="16"/>
  <c r="N19" i="16"/>
  <c r="L19" i="16"/>
  <c r="O19" i="16" s="1"/>
  <c r="M15" i="16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P809" i="15"/>
  <c r="O809" i="15"/>
  <c r="P808" i="15"/>
  <c r="N808" i="15"/>
  <c r="M808" i="15"/>
  <c r="L808" i="15"/>
  <c r="O808" i="15" s="1"/>
  <c r="O807" i="15"/>
  <c r="N807" i="15"/>
  <c r="M807" i="15"/>
  <c r="L807" i="15"/>
  <c r="P806" i="15"/>
  <c r="N806" i="15"/>
  <c r="M806" i="15"/>
  <c r="L806" i="15"/>
  <c r="N805" i="15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P796" i="15"/>
  <c r="N796" i="15"/>
  <c r="M796" i="15"/>
  <c r="L796" i="15"/>
  <c r="O796" i="15" s="1"/>
  <c r="N791" i="15"/>
  <c r="L791" i="15"/>
  <c r="L789" i="15" s="1"/>
  <c r="P790" i="15"/>
  <c r="O790" i="15"/>
  <c r="N788" i="15"/>
  <c r="P787" i="15"/>
  <c r="N787" i="15"/>
  <c r="N786" i="15" s="1"/>
  <c r="M787" i="15"/>
  <c r="L787" i="15"/>
  <c r="O787" i="15" s="1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M773" i="15"/>
  <c r="P773" i="15" s="1"/>
  <c r="L773" i="15"/>
  <c r="P772" i="15"/>
  <c r="M772" i="15"/>
  <c r="L772" i="15"/>
  <c r="O771" i="15"/>
  <c r="N771" i="15"/>
  <c r="M771" i="15"/>
  <c r="P771" i="15" s="1"/>
  <c r="L771" i="15"/>
  <c r="P770" i="15"/>
  <c r="M770" i="15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P758" i="15"/>
  <c r="O758" i="15"/>
  <c r="O757" i="15"/>
  <c r="M757" i="15"/>
  <c r="P757" i="15" s="1"/>
  <c r="L757" i="15"/>
  <c r="P756" i="15"/>
  <c r="M756" i="15"/>
  <c r="L756" i="15"/>
  <c r="O755" i="15"/>
  <c r="N755" i="15"/>
  <c r="M755" i="15"/>
  <c r="P755" i="15" s="1"/>
  <c r="L755" i="15"/>
  <c r="P754" i="15"/>
  <c r="M754" i="15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M740" i="15"/>
  <c r="P740" i="15" s="1"/>
  <c r="L740" i="15"/>
  <c r="P739" i="15"/>
  <c r="M739" i="15"/>
  <c r="L739" i="15"/>
  <c r="O738" i="15"/>
  <c r="N738" i="15"/>
  <c r="M738" i="15"/>
  <c r="P738" i="15" s="1"/>
  <c r="L738" i="15"/>
  <c r="P737" i="15"/>
  <c r="M737" i="15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L690" i="15"/>
  <c r="M690" i="15" s="1"/>
  <c r="M688" i="15" s="1"/>
  <c r="O686" i="15"/>
  <c r="N686" i="15"/>
  <c r="M686" i="15"/>
  <c r="P686" i="15" s="1"/>
  <c r="L686" i="15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2" i="15" s="1"/>
  <c r="P667" i="15"/>
  <c r="O667" i="15"/>
  <c r="P666" i="15"/>
  <c r="O666" i="15"/>
  <c r="O665" i="15"/>
  <c r="N665" i="15"/>
  <c r="M665" i="15"/>
  <c r="P665" i="15" s="1"/>
  <c r="L665" i="15"/>
  <c r="P660" i="15"/>
  <c r="N660" i="15"/>
  <c r="N657" i="15" s="1"/>
  <c r="L660" i="15"/>
  <c r="O660" i="15" s="1"/>
  <c r="P659" i="15"/>
  <c r="O659" i="15"/>
  <c r="P658" i="15"/>
  <c r="N658" i="15"/>
  <c r="M658" i="15"/>
  <c r="M657" i="15"/>
  <c r="P657" i="15" s="1"/>
  <c r="P656" i="15"/>
  <c r="N656" i="15"/>
  <c r="M656" i="15"/>
  <c r="L656" i="15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N632" i="15" s="1"/>
  <c r="L634" i="15"/>
  <c r="L631" i="15" s="1"/>
  <c r="P633" i="15"/>
  <c r="O633" i="15"/>
  <c r="N631" i="15"/>
  <c r="O630" i="15"/>
  <c r="N630" i="15"/>
  <c r="N629" i="15" s="1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3" i="15" s="1"/>
  <c r="J596" i="15"/>
  <c r="J594" i="15" s="1"/>
  <c r="J595" i="15"/>
  <c r="I594" i="15"/>
  <c r="K594" i="15" s="1"/>
  <c r="I593" i="15"/>
  <c r="I592" i="15" s="1"/>
  <c r="J583" i="15"/>
  <c r="J582" i="15"/>
  <c r="J577" i="15"/>
  <c r="I577" i="15"/>
  <c r="J576" i="15"/>
  <c r="I576" i="15"/>
  <c r="I559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L555" i="15" s="1"/>
  <c r="O555" i="15" s="1"/>
  <c r="P556" i="15"/>
  <c r="O556" i="15"/>
  <c r="N555" i="15"/>
  <c r="N545" i="15" s="1"/>
  <c r="N544" i="15" s="1"/>
  <c r="M555" i="15"/>
  <c r="P555" i="15" s="1"/>
  <c r="N549" i="15"/>
  <c r="L549" i="15"/>
  <c r="O549" i="15" s="1"/>
  <c r="P548" i="15"/>
  <c r="O548" i="15"/>
  <c r="N547" i="15"/>
  <c r="N546" i="15"/>
  <c r="O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O535" i="15" s="1"/>
  <c r="P534" i="15"/>
  <c r="O534" i="15"/>
  <c r="P533" i="15"/>
  <c r="N533" i="15"/>
  <c r="M533" i="15"/>
  <c r="P528" i="15"/>
  <c r="N528" i="15"/>
  <c r="L528" i="15"/>
  <c r="O528" i="15" s="1"/>
  <c r="P527" i="15"/>
  <c r="O527" i="15"/>
  <c r="N526" i="15"/>
  <c r="M526" i="15"/>
  <c r="P526" i="15" s="1"/>
  <c r="P525" i="15"/>
  <c r="N525" i="15"/>
  <c r="N523" i="15" s="1"/>
  <c r="M525" i="15"/>
  <c r="O524" i="15"/>
  <c r="N524" i="15"/>
  <c r="M524" i="15"/>
  <c r="L524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O505" i="15"/>
  <c r="M505" i="15"/>
  <c r="P505" i="15" s="1"/>
  <c r="L505" i="15"/>
  <c r="P504" i="15"/>
  <c r="M504" i="15"/>
  <c r="L504" i="15"/>
  <c r="O503" i="15"/>
  <c r="N503" i="15"/>
  <c r="M503" i="15"/>
  <c r="P503" i="15" s="1"/>
  <c r="L503" i="15"/>
  <c r="P502" i="15"/>
  <c r="M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L477" i="15"/>
  <c r="O477" i="15" s="1"/>
  <c r="N472" i="15"/>
  <c r="L472" i="15"/>
  <c r="P471" i="15"/>
  <c r="O471" i="15"/>
  <c r="N470" i="15"/>
  <c r="N469" i="15"/>
  <c r="P468" i="15"/>
  <c r="N468" i="15"/>
  <c r="M468" i="15"/>
  <c r="L468" i="15"/>
  <c r="N467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K462" i="15" s="1"/>
  <c r="I460" i="15"/>
  <c r="K460" i="15" s="1"/>
  <c r="K458" i="15"/>
  <c r="P456" i="15"/>
  <c r="L456" i="15"/>
  <c r="L454" i="15" s="1"/>
  <c r="O454" i="15" s="1"/>
  <c r="P455" i="15"/>
  <c r="O455" i="15"/>
  <c r="P454" i="15"/>
  <c r="N454" i="15"/>
  <c r="M454" i="15"/>
  <c r="N449" i="15"/>
  <c r="L449" i="15"/>
  <c r="M449" i="15" s="1"/>
  <c r="P448" i="15"/>
  <c r="O448" i="15"/>
  <c r="N446" i="15"/>
  <c r="P445" i="15"/>
  <c r="N445" i="15"/>
  <c r="N444" i="15" s="1"/>
  <c r="M445" i="15"/>
  <c r="L445" i="15"/>
  <c r="O445" i="15" s="1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P430" i="15"/>
  <c r="O430" i="15"/>
  <c r="N429" i="15"/>
  <c r="M429" i="15"/>
  <c r="P429" i="15" s="1"/>
  <c r="N424" i="15"/>
  <c r="N422" i="15" s="1"/>
  <c r="L424" i="15"/>
  <c r="P423" i="15"/>
  <c r="O423" i="15"/>
  <c r="N421" i="15"/>
  <c r="O420" i="15"/>
  <c r="N420" i="15"/>
  <c r="N419" i="15" s="1"/>
  <c r="M420" i="15"/>
  <c r="P420" i="15" s="1"/>
  <c r="L420" i="15"/>
  <c r="J418" i="15"/>
  <c r="K413" i="15"/>
  <c r="K412" i="15"/>
  <c r="N410" i="15"/>
  <c r="N408" i="15" s="1"/>
  <c r="M410" i="15"/>
  <c r="L410" i="15"/>
  <c r="O410" i="15" s="1"/>
  <c r="P409" i="15"/>
  <c r="O409" i="15"/>
  <c r="N407" i="15"/>
  <c r="N405" i="15" s="1"/>
  <c r="M407" i="15"/>
  <c r="M405" i="15" s="1"/>
  <c r="P405" i="15" s="1"/>
  <c r="L407" i="15"/>
  <c r="O407" i="15" s="1"/>
  <c r="P406" i="15"/>
  <c r="O406" i="15"/>
  <c r="O403" i="15"/>
  <c r="N403" i="15"/>
  <c r="M403" i="15"/>
  <c r="L403" i="15"/>
  <c r="K401" i="15"/>
  <c r="J401" i="15"/>
  <c r="I401" i="15"/>
  <c r="K400" i="15"/>
  <c r="K399" i="15"/>
  <c r="N397" i="15"/>
  <c r="N395" i="15" s="1"/>
  <c r="M397" i="15"/>
  <c r="P397" i="15" s="1"/>
  <c r="L397" i="15"/>
  <c r="L395" i="15" s="1"/>
  <c r="O395" i="15" s="1"/>
  <c r="P396" i="15"/>
  <c r="O396" i="15"/>
  <c r="N394" i="15"/>
  <c r="N392" i="15" s="1"/>
  <c r="M394" i="15"/>
  <c r="M392" i="15" s="1"/>
  <c r="P392" i="15" s="1"/>
  <c r="L394" i="15"/>
  <c r="L392" i="15" s="1"/>
  <c r="O392" i="15" s="1"/>
  <c r="P393" i="15"/>
  <c r="O393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2" i="15" s="1"/>
  <c r="K361" i="15"/>
  <c r="J361" i="15"/>
  <c r="J360" i="15"/>
  <c r="I360" i="15"/>
  <c r="J359" i="15"/>
  <c r="I359" i="15"/>
  <c r="K359" i="15" s="1"/>
  <c r="K358" i="15"/>
  <c r="J358" i="15"/>
  <c r="I355" i="15"/>
  <c r="N353" i="15"/>
  <c r="M353" i="15"/>
  <c r="M351" i="15" s="1"/>
  <c r="L353" i="15"/>
  <c r="L351" i="15" s="1"/>
  <c r="P352" i="15"/>
  <c r="O352" i="15"/>
  <c r="N350" i="15"/>
  <c r="M350" i="15"/>
  <c r="M348" i="15" s="1"/>
  <c r="L350" i="15"/>
  <c r="P349" i="15"/>
  <c r="O349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P335" i="15"/>
  <c r="O335" i="15"/>
  <c r="N333" i="15"/>
  <c r="N331" i="15" s="1"/>
  <c r="M333" i="15"/>
  <c r="L333" i="15"/>
  <c r="L331" i="15" s="1"/>
  <c r="P332" i="15"/>
  <c r="O332" i="15"/>
  <c r="O329" i="15"/>
  <c r="N329" i="15"/>
  <c r="M329" i="15"/>
  <c r="L329" i="15"/>
  <c r="I327" i="15"/>
  <c r="I325" i="15"/>
  <c r="K325" i="15" s="1"/>
  <c r="N323" i="15"/>
  <c r="N321" i="15" s="1"/>
  <c r="M323" i="15"/>
  <c r="M317" i="15" s="1"/>
  <c r="P317" i="15" s="1"/>
  <c r="L323" i="15"/>
  <c r="O323" i="15" s="1"/>
  <c r="P322" i="15"/>
  <c r="O322" i="15"/>
  <c r="N320" i="15"/>
  <c r="N318" i="15" s="1"/>
  <c r="M320" i="15"/>
  <c r="L320" i="15"/>
  <c r="O320" i="15" s="1"/>
  <c r="P319" i="15"/>
  <c r="O319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N306" i="15"/>
  <c r="M306" i="15"/>
  <c r="P306" i="15" s="1"/>
  <c r="L306" i="15"/>
  <c r="P305" i="15"/>
  <c r="O305" i="15"/>
  <c r="N303" i="15"/>
  <c r="N301" i="15" s="1"/>
  <c r="M303" i="15"/>
  <c r="P303" i="15" s="1"/>
  <c r="L303" i="15"/>
  <c r="P302" i="15"/>
  <c r="O302" i="15"/>
  <c r="O299" i="15"/>
  <c r="N299" i="15"/>
  <c r="M299" i="15"/>
  <c r="P299" i="15" s="1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M285" i="15"/>
  <c r="M283" i="15" s="1"/>
  <c r="P283" i="15" s="1"/>
  <c r="L285" i="15"/>
  <c r="P284" i="15"/>
  <c r="O284" i="15"/>
  <c r="N282" i="15"/>
  <c r="M282" i="15"/>
  <c r="M280" i="15" s="1"/>
  <c r="L282" i="15"/>
  <c r="L280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L269" i="15"/>
  <c r="L267" i="15" s="1"/>
  <c r="O267" i="15" s="1"/>
  <c r="P268" i="15"/>
  <c r="O268" i="15"/>
  <c r="N266" i="15"/>
  <c r="M266" i="15"/>
  <c r="M264" i="15" s="1"/>
  <c r="L266" i="15"/>
  <c r="L264" i="15" s="1"/>
  <c r="P265" i="15"/>
  <c r="O265" i="15"/>
  <c r="O262" i="15"/>
  <c r="N262" i="15"/>
  <c r="M262" i="15"/>
  <c r="P262" i="15" s="1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J237" i="15"/>
  <c r="K236" i="15"/>
  <c r="J236" i="15"/>
  <c r="I236" i="15"/>
  <c r="J235" i="15"/>
  <c r="I235" i="15"/>
  <c r="K235" i="15" s="1"/>
  <c r="J233" i="15"/>
  <c r="N231" i="15"/>
  <c r="N230" i="15"/>
  <c r="N229" i="15"/>
  <c r="N228" i="15"/>
  <c r="J226" i="15"/>
  <c r="J180" i="15" s="1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L202" i="15"/>
  <c r="L201" i="15"/>
  <c r="L200" i="15"/>
  <c r="L199" i="15"/>
  <c r="P198" i="15"/>
  <c r="N198" i="15"/>
  <c r="J197" i="15"/>
  <c r="J194" i="15"/>
  <c r="I193" i="15"/>
  <c r="P191" i="15"/>
  <c r="L191" i="15"/>
  <c r="O191" i="15" s="1"/>
  <c r="J190" i="15"/>
  <c r="N189" i="15"/>
  <c r="N187" i="15" s="1"/>
  <c r="M189" i="15"/>
  <c r="M187" i="15" s="1"/>
  <c r="P187" i="15" s="1"/>
  <c r="L189" i="15"/>
  <c r="L187" i="15" s="1"/>
  <c r="O187" i="15" s="1"/>
  <c r="P188" i="15"/>
  <c r="O188" i="15"/>
  <c r="N186" i="15"/>
  <c r="M186" i="15"/>
  <c r="L186" i="15"/>
  <c r="L184" i="15" s="1"/>
  <c r="P185" i="15"/>
  <c r="O185" i="15"/>
  <c r="O182" i="15"/>
  <c r="N182" i="15"/>
  <c r="M182" i="15"/>
  <c r="P182" i="15" s="1"/>
  <c r="L182" i="15"/>
  <c r="J177" i="15"/>
  <c r="I176" i="15"/>
  <c r="I174" i="15" s="1"/>
  <c r="I164" i="15" s="1"/>
  <c r="J174" i="15"/>
  <c r="N173" i="15"/>
  <c r="N171" i="15" s="1"/>
  <c r="M173" i="15"/>
  <c r="M171" i="15" s="1"/>
  <c r="P171" i="15" s="1"/>
  <c r="L173" i="15"/>
  <c r="L171" i="15" s="1"/>
  <c r="O171" i="15" s="1"/>
  <c r="P172" i="15"/>
  <c r="O172" i="15"/>
  <c r="N170" i="15"/>
  <c r="M170" i="15"/>
  <c r="M168" i="15" s="1"/>
  <c r="L170" i="15"/>
  <c r="L168" i="15" s="1"/>
  <c r="P169" i="15"/>
  <c r="O169" i="15"/>
  <c r="O166" i="15"/>
  <c r="N166" i="15"/>
  <c r="M166" i="15"/>
  <c r="P166" i="15" s="1"/>
  <c r="L166" i="15"/>
  <c r="I159" i="15"/>
  <c r="K159" i="15" s="1"/>
  <c r="N157" i="15"/>
  <c r="N155" i="15" s="1"/>
  <c r="M157" i="15"/>
  <c r="P157" i="15" s="1"/>
  <c r="L157" i="15"/>
  <c r="P156" i="15"/>
  <c r="O156" i="15"/>
  <c r="N154" i="15"/>
  <c r="N152" i="15" s="1"/>
  <c r="M154" i="15"/>
  <c r="M152" i="15" s="1"/>
  <c r="L154" i="15"/>
  <c r="L152" i="15" s="1"/>
  <c r="P153" i="15"/>
  <c r="O153" i="15"/>
  <c r="O150" i="15"/>
  <c r="N150" i="15"/>
  <c r="M150" i="15"/>
  <c r="L150" i="15"/>
  <c r="J148" i="15"/>
  <c r="I146" i="15"/>
  <c r="I145" i="15"/>
  <c r="I143" i="15" s="1"/>
  <c r="I131" i="15" s="1"/>
  <c r="I144" i="15"/>
  <c r="N140" i="15"/>
  <c r="N138" i="15" s="1"/>
  <c r="M140" i="15"/>
  <c r="L140" i="15"/>
  <c r="L138" i="15" s="1"/>
  <c r="P139" i="15"/>
  <c r="O139" i="15"/>
  <c r="N137" i="15"/>
  <c r="M137" i="15"/>
  <c r="M135" i="15" s="1"/>
  <c r="L137" i="15"/>
  <c r="P136" i="15"/>
  <c r="O136" i="15"/>
  <c r="N133" i="15"/>
  <c r="M133" i="15"/>
  <c r="L133" i="15"/>
  <c r="O133" i="15" s="1"/>
  <c r="J130" i="15"/>
  <c r="N127" i="15"/>
  <c r="N125" i="15" s="1"/>
  <c r="M127" i="15"/>
  <c r="P127" i="15" s="1"/>
  <c r="L127" i="15"/>
  <c r="L125" i="15" s="1"/>
  <c r="O125" i="15" s="1"/>
  <c r="P126" i="15"/>
  <c r="O126" i="15"/>
  <c r="N124" i="15"/>
  <c r="M124" i="15"/>
  <c r="P124" i="15" s="1"/>
  <c r="L124" i="15"/>
  <c r="P123" i="15"/>
  <c r="O123" i="15"/>
  <c r="P120" i="15"/>
  <c r="O120" i="15"/>
  <c r="N120" i="15"/>
  <c r="M120" i="15"/>
  <c r="L120" i="15"/>
  <c r="I116" i="15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I87" i="15" s="1"/>
  <c r="J98" i="15"/>
  <c r="J86" i="15" s="1"/>
  <c r="I98" i="15"/>
  <c r="K98" i="15" s="1"/>
  <c r="N96" i="15"/>
  <c r="N94" i="15" s="1"/>
  <c r="M96" i="15"/>
  <c r="L96" i="15"/>
  <c r="L94" i="15" s="1"/>
  <c r="O94" i="15" s="1"/>
  <c r="P95" i="15"/>
  <c r="O95" i="15"/>
  <c r="N93" i="15"/>
  <c r="M93" i="15"/>
  <c r="L93" i="15"/>
  <c r="P92" i="15"/>
  <c r="O92" i="15"/>
  <c r="O89" i="15"/>
  <c r="N89" i="15"/>
  <c r="M89" i="15"/>
  <c r="P89" i="15" s="1"/>
  <c r="L89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J77" i="15"/>
  <c r="J65" i="15" s="1"/>
  <c r="J76" i="15"/>
  <c r="J64" i="15" s="1"/>
  <c r="N74" i="15"/>
  <c r="N72" i="15" s="1"/>
  <c r="M74" i="15"/>
  <c r="P74" i="15" s="1"/>
  <c r="L74" i="15"/>
  <c r="P73" i="15"/>
  <c r="O73" i="15"/>
  <c r="N71" i="15"/>
  <c r="M71" i="15"/>
  <c r="M69" i="15" s="1"/>
  <c r="L71" i="15"/>
  <c r="P70" i="15"/>
  <c r="O70" i="15"/>
  <c r="P67" i="15"/>
  <c r="N67" i="15"/>
  <c r="M67" i="15"/>
  <c r="L67" i="15"/>
  <c r="O67" i="15" s="1"/>
  <c r="N61" i="15"/>
  <c r="N59" i="15" s="1"/>
  <c r="M61" i="15"/>
  <c r="L61" i="15"/>
  <c r="O61" i="15" s="1"/>
  <c r="P60" i="15"/>
  <c r="O60" i="15"/>
  <c r="N58" i="15"/>
  <c r="N56" i="15" s="1"/>
  <c r="M58" i="15"/>
  <c r="L58" i="15"/>
  <c r="P57" i="15"/>
  <c r="O57" i="15"/>
  <c r="P54" i="15"/>
  <c r="O54" i="15"/>
  <c r="N54" i="15"/>
  <c r="M54" i="15"/>
  <c r="L54" i="15"/>
  <c r="N49" i="15"/>
  <c r="N47" i="15" s="1"/>
  <c r="M49" i="15"/>
  <c r="L49" i="15"/>
  <c r="P48" i="15"/>
  <c r="O48" i="15"/>
  <c r="N46" i="15"/>
  <c r="M46" i="15"/>
  <c r="M44" i="15" s="1"/>
  <c r="L46" i="15"/>
  <c r="P45" i="15"/>
  <c r="O45" i="15"/>
  <c r="P42" i="15"/>
  <c r="N42" i="15"/>
  <c r="M42" i="15"/>
  <c r="L42" i="15"/>
  <c r="O42" i="15" s="1"/>
  <c r="P36" i="15"/>
  <c r="N36" i="15"/>
  <c r="M36" i="15"/>
  <c r="O35" i="15"/>
  <c r="N35" i="15"/>
  <c r="N34" i="15" s="1"/>
  <c r="M35" i="15"/>
  <c r="P35" i="15" s="1"/>
  <c r="L35" i="15"/>
  <c r="M34" i="15"/>
  <c r="P34" i="15" s="1"/>
  <c r="O32" i="15"/>
  <c r="N32" i="15"/>
  <c r="M32" i="15"/>
  <c r="P32" i="15" s="1"/>
  <c r="L32" i="15"/>
  <c r="N29" i="15"/>
  <c r="L29" i="15"/>
  <c r="O25" i="15"/>
  <c r="N25" i="15"/>
  <c r="M25" i="15"/>
  <c r="P25" i="15" s="1"/>
  <c r="L25" i="15"/>
  <c r="P22" i="15"/>
  <c r="N22" i="15"/>
  <c r="M22" i="15"/>
  <c r="L22" i="15"/>
  <c r="M19" i="15"/>
  <c r="P19" i="15" s="1"/>
  <c r="N15" i="15"/>
  <c r="L15" i="15"/>
  <c r="M12" i="15"/>
  <c r="P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P809" i="14"/>
  <c r="O809" i="14"/>
  <c r="P808" i="14"/>
  <c r="O808" i="14"/>
  <c r="N808" i="14"/>
  <c r="M808" i="14"/>
  <c r="L808" i="14"/>
  <c r="O807" i="14"/>
  <c r="N807" i="14"/>
  <c r="N805" i="14" s="1"/>
  <c r="M807" i="14"/>
  <c r="P807" i="14" s="1"/>
  <c r="L807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L791" i="14"/>
  <c r="O791" i="14" s="1"/>
  <c r="P790" i="14"/>
  <c r="O790" i="14"/>
  <c r="N789" i="14"/>
  <c r="M789" i="14"/>
  <c r="P789" i="14" s="1"/>
  <c r="N788" i="14"/>
  <c r="N786" i="14" s="1"/>
  <c r="M788" i="14"/>
  <c r="P788" i="14" s="1"/>
  <c r="N787" i="14"/>
  <c r="M787" i="14"/>
  <c r="L787" i="14"/>
  <c r="O787" i="14" s="1"/>
  <c r="P782" i="14"/>
  <c r="O782" i="14"/>
  <c r="P781" i="14"/>
  <c r="O781" i="14"/>
  <c r="N780" i="14"/>
  <c r="M780" i="14"/>
  <c r="P780" i="14" s="1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O772" i="14"/>
  <c r="N772" i="14"/>
  <c r="M772" i="14"/>
  <c r="P772" i="14" s="1"/>
  <c r="L772" i="14"/>
  <c r="N771" i="14"/>
  <c r="N770" i="14" s="1"/>
  <c r="M771" i="14"/>
  <c r="P771" i="14" s="1"/>
  <c r="L771" i="14"/>
  <c r="O771" i="14" s="1"/>
  <c r="M770" i="14"/>
  <c r="P770" i="14" s="1"/>
  <c r="L770" i="14"/>
  <c r="O770" i="14" s="1"/>
  <c r="K769" i="14"/>
  <c r="J769" i="14"/>
  <c r="P766" i="14"/>
  <c r="O766" i="14"/>
  <c r="P765" i="14"/>
  <c r="O765" i="14"/>
  <c r="N764" i="14"/>
  <c r="M764" i="14"/>
  <c r="P764" i="14" s="1"/>
  <c r="L764" i="14"/>
  <c r="O764" i="14" s="1"/>
  <c r="P759" i="14"/>
  <c r="O759" i="14"/>
  <c r="N759" i="14"/>
  <c r="P758" i="14"/>
  <c r="O758" i="14"/>
  <c r="P757" i="14"/>
  <c r="O757" i="14"/>
  <c r="N757" i="14"/>
  <c r="M757" i="14"/>
  <c r="L757" i="14"/>
  <c r="O756" i="14"/>
  <c r="N756" i="14"/>
  <c r="M756" i="14"/>
  <c r="P756" i="14" s="1"/>
  <c r="L756" i="14"/>
  <c r="O755" i="14"/>
  <c r="N755" i="14"/>
  <c r="N754" i="14" s="1"/>
  <c r="M755" i="14"/>
  <c r="P755" i="14" s="1"/>
  <c r="L755" i="14"/>
  <c r="M754" i="14"/>
  <c r="P754" i="14" s="1"/>
  <c r="L754" i="14"/>
  <c r="O754" i="14" s="1"/>
  <c r="K753" i="14"/>
  <c r="J753" i="14"/>
  <c r="P749" i="14"/>
  <c r="O749" i="14"/>
  <c r="P748" i="14"/>
  <c r="O748" i="14"/>
  <c r="N747" i="14"/>
  <c r="M747" i="14"/>
  <c r="P747" i="14" s="1"/>
  <c r="L747" i="14"/>
  <c r="O747" i="14" s="1"/>
  <c r="P742" i="14"/>
  <c r="O742" i="14"/>
  <c r="N742" i="14"/>
  <c r="P741" i="14"/>
  <c r="O741" i="14"/>
  <c r="P740" i="14"/>
  <c r="O740" i="14"/>
  <c r="N740" i="14"/>
  <c r="M740" i="14"/>
  <c r="L740" i="14"/>
  <c r="O739" i="14"/>
  <c r="N739" i="14"/>
  <c r="M739" i="14"/>
  <c r="P739" i="14" s="1"/>
  <c r="L739" i="14"/>
  <c r="N738" i="14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P690" i="14"/>
  <c r="N690" i="14"/>
  <c r="L690" i="14"/>
  <c r="O690" i="14" s="1"/>
  <c r="P688" i="14"/>
  <c r="N688" i="14"/>
  <c r="M688" i="14"/>
  <c r="N687" i="14"/>
  <c r="N685" i="14" s="1"/>
  <c r="M687" i="14"/>
  <c r="P687" i="14" s="1"/>
  <c r="N686" i="14"/>
  <c r="M686" i="14"/>
  <c r="L686" i="14"/>
  <c r="O686" i="14" s="1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K673" i="14" s="1"/>
  <c r="P667" i="14"/>
  <c r="O667" i="14"/>
  <c r="P666" i="14"/>
  <c r="O666" i="14"/>
  <c r="N665" i="14"/>
  <c r="M665" i="14"/>
  <c r="P665" i="14" s="1"/>
  <c r="L665" i="14"/>
  <c r="O665" i="14" s="1"/>
  <c r="N660" i="14"/>
  <c r="N658" i="14" s="1"/>
  <c r="L660" i="14"/>
  <c r="P659" i="14"/>
  <c r="O659" i="14"/>
  <c r="N657" i="14"/>
  <c r="P656" i="14"/>
  <c r="O656" i="14"/>
  <c r="N656" i="14"/>
  <c r="N655" i="14" s="1"/>
  <c r="M656" i="14"/>
  <c r="L656" i="14"/>
  <c r="J654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P639" i="14"/>
  <c r="N639" i="14"/>
  <c r="M639" i="14"/>
  <c r="L639" i="14"/>
  <c r="O639" i="14" s="1"/>
  <c r="N634" i="14"/>
  <c r="N632" i="14" s="1"/>
  <c r="L634" i="14"/>
  <c r="M634" i="14" s="1"/>
  <c r="P633" i="14"/>
  <c r="O633" i="14"/>
  <c r="N631" i="14"/>
  <c r="N630" i="14"/>
  <c r="N629" i="14" s="1"/>
  <c r="M630" i="14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I592" i="14" s="1"/>
  <c r="J583" i="14"/>
  <c r="J577" i="14" s="1"/>
  <c r="J582" i="14"/>
  <c r="I577" i="14"/>
  <c r="J576" i="14"/>
  <c r="J559" i="14" s="1"/>
  <c r="I576" i="14"/>
  <c r="J569" i="14"/>
  <c r="I569" i="14"/>
  <c r="K569" i="14" s="1"/>
  <c r="J568" i="14"/>
  <c r="I568" i="14"/>
  <c r="J561" i="14"/>
  <c r="I561" i="14"/>
  <c r="K561" i="14" s="1"/>
  <c r="J560" i="14"/>
  <c r="I560" i="14"/>
  <c r="K560" i="14" s="1"/>
  <c r="P557" i="14"/>
  <c r="L557" i="14"/>
  <c r="L555" i="14" s="1"/>
  <c r="O555" i="14" s="1"/>
  <c r="P556" i="14"/>
  <c r="O556" i="14"/>
  <c r="N555" i="14"/>
  <c r="N545" i="14" s="1"/>
  <c r="N544" i="14" s="1"/>
  <c r="M555" i="14"/>
  <c r="N549" i="14"/>
  <c r="L549" i="14"/>
  <c r="L546" i="14" s="1"/>
  <c r="O546" i="14" s="1"/>
  <c r="P548" i="14"/>
  <c r="O548" i="14"/>
  <c r="N547" i="14"/>
  <c r="N546" i="14"/>
  <c r="L545" i="14"/>
  <c r="J543" i="14"/>
  <c r="I542" i="14"/>
  <c r="K542" i="14" s="1"/>
  <c r="I541" i="14"/>
  <c r="K541" i="14" s="1"/>
  <c r="I540" i="14"/>
  <c r="K540" i="14" s="1"/>
  <c r="I539" i="14"/>
  <c r="K539" i="14" s="1"/>
  <c r="I538" i="14"/>
  <c r="I537" i="14"/>
  <c r="I522" i="14" s="1"/>
  <c r="K522" i="14" s="1"/>
  <c r="P535" i="14"/>
  <c r="L535" i="14"/>
  <c r="P534" i="14"/>
  <c r="O534" i="14"/>
  <c r="N533" i="14"/>
  <c r="M533" i="14"/>
  <c r="P533" i="14" s="1"/>
  <c r="P528" i="14"/>
  <c r="N528" i="14"/>
  <c r="N525" i="14" s="1"/>
  <c r="L528" i="14"/>
  <c r="O528" i="14" s="1"/>
  <c r="P527" i="14"/>
  <c r="O527" i="14"/>
  <c r="N526" i="14"/>
  <c r="M526" i="14"/>
  <c r="P526" i="14" s="1"/>
  <c r="P525" i="14"/>
  <c r="M525" i="14"/>
  <c r="P524" i="14"/>
  <c r="O524" i="14"/>
  <c r="N524" i="14"/>
  <c r="M524" i="14"/>
  <c r="M523" i="14" s="1"/>
  <c r="P523" i="14" s="1"/>
  <c r="L524" i="14"/>
  <c r="N523" i="14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O504" i="14"/>
  <c r="N504" i="14"/>
  <c r="M504" i="14"/>
  <c r="P504" i="14" s="1"/>
  <c r="L504" i="14"/>
  <c r="O503" i="14"/>
  <c r="N503" i="14"/>
  <c r="M503" i="14"/>
  <c r="P503" i="14" s="1"/>
  <c r="L503" i="14"/>
  <c r="M502" i="14"/>
  <c r="P502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N472" i="14"/>
  <c r="L472" i="14"/>
  <c r="M472" i="14" s="1"/>
  <c r="P472" i="14" s="1"/>
  <c r="P471" i="14"/>
  <c r="O471" i="14"/>
  <c r="N470" i="14"/>
  <c r="N469" i="14"/>
  <c r="O468" i="14"/>
  <c r="N468" i="14"/>
  <c r="M468" i="14"/>
  <c r="P468" i="14" s="1"/>
  <c r="L468" i="14"/>
  <c r="N467" i="14"/>
  <c r="J466" i="14"/>
  <c r="I466" i="14"/>
  <c r="K466" i="14" s="1"/>
  <c r="J465" i="14"/>
  <c r="I465" i="14"/>
  <c r="I464" i="14"/>
  <c r="K464" i="14" s="1"/>
  <c r="I463" i="14"/>
  <c r="K463" i="14" s="1"/>
  <c r="I462" i="14"/>
  <c r="K462" i="14" s="1"/>
  <c r="I460" i="14"/>
  <c r="K460" i="14" s="1"/>
  <c r="K458" i="14"/>
  <c r="P456" i="14"/>
  <c r="L456" i="14"/>
  <c r="O456" i="14" s="1"/>
  <c r="P455" i="14"/>
  <c r="O455" i="14"/>
  <c r="N454" i="14"/>
  <c r="M454" i="14"/>
  <c r="P454" i="14" s="1"/>
  <c r="N449" i="14"/>
  <c r="L449" i="14"/>
  <c r="O449" i="14" s="1"/>
  <c r="P448" i="14"/>
  <c r="O448" i="14"/>
  <c r="N447" i="14"/>
  <c r="N446" i="14"/>
  <c r="N445" i="14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J434" i="14"/>
  <c r="P431" i="14"/>
  <c r="L431" i="14"/>
  <c r="O431" i="14" s="1"/>
  <c r="P430" i="14"/>
  <c r="O430" i="14"/>
  <c r="P429" i="14"/>
  <c r="N429" i="14"/>
  <c r="M429" i="14"/>
  <c r="L429" i="14"/>
  <c r="O429" i="14" s="1"/>
  <c r="N424" i="14"/>
  <c r="L424" i="14"/>
  <c r="L422" i="14" s="1"/>
  <c r="P423" i="14"/>
  <c r="O423" i="14"/>
  <c r="N421" i="14"/>
  <c r="O420" i="14"/>
  <c r="N420" i="14"/>
  <c r="M420" i="14"/>
  <c r="P420" i="14" s="1"/>
  <c r="L420" i="14"/>
  <c r="J418" i="14"/>
  <c r="K413" i="14"/>
  <c r="K412" i="14"/>
  <c r="N410" i="14"/>
  <c r="N408" i="14" s="1"/>
  <c r="M410" i="14"/>
  <c r="L410" i="14"/>
  <c r="P409" i="14"/>
  <c r="O409" i="14"/>
  <c r="N407" i="14"/>
  <c r="N405" i="14" s="1"/>
  <c r="M407" i="14"/>
  <c r="P407" i="14" s="1"/>
  <c r="L407" i="14"/>
  <c r="P406" i="14"/>
  <c r="O406" i="14"/>
  <c r="N403" i="14"/>
  <c r="M403" i="14"/>
  <c r="P403" i="14" s="1"/>
  <c r="L403" i="14"/>
  <c r="K401" i="14"/>
  <c r="J401" i="14"/>
  <c r="I401" i="14"/>
  <c r="K400" i="14"/>
  <c r="K399" i="14"/>
  <c r="N397" i="14"/>
  <c r="N395" i="14" s="1"/>
  <c r="M397" i="14"/>
  <c r="P397" i="14" s="1"/>
  <c r="L397" i="14"/>
  <c r="P396" i="14"/>
  <c r="O396" i="14"/>
  <c r="N394" i="14"/>
  <c r="N392" i="14" s="1"/>
  <c r="M394" i="14"/>
  <c r="P394" i="14" s="1"/>
  <c r="L394" i="14"/>
  <c r="O394" i="14" s="1"/>
  <c r="P393" i="14"/>
  <c r="O393" i="14"/>
  <c r="O390" i="14"/>
  <c r="N390" i="14"/>
  <c r="M390" i="14"/>
  <c r="P390" i="14" s="1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L353" i="14"/>
  <c r="P352" i="14"/>
  <c r="O352" i="14"/>
  <c r="N350" i="14"/>
  <c r="M350" i="14"/>
  <c r="M348" i="14" s="1"/>
  <c r="L350" i="14"/>
  <c r="L348" i="14" s="1"/>
  <c r="P349" i="14"/>
  <c r="O349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O336" i="14" s="1"/>
  <c r="P335" i="14"/>
  <c r="O335" i="14"/>
  <c r="N333" i="14"/>
  <c r="M333" i="14"/>
  <c r="M331" i="14" s="1"/>
  <c r="L333" i="14"/>
  <c r="L331" i="14" s="1"/>
  <c r="P332" i="14"/>
  <c r="O332" i="14"/>
  <c r="O329" i="14"/>
  <c r="N329" i="14"/>
  <c r="M329" i="14"/>
  <c r="P329" i="14" s="1"/>
  <c r="L329" i="14"/>
  <c r="I327" i="14"/>
  <c r="I325" i="14"/>
  <c r="K325" i="14" s="1"/>
  <c r="N323" i="14"/>
  <c r="N321" i="14" s="1"/>
  <c r="M323" i="14"/>
  <c r="P323" i="14" s="1"/>
  <c r="L323" i="14"/>
  <c r="P322" i="14"/>
  <c r="O322" i="14"/>
  <c r="N320" i="14"/>
  <c r="M320" i="14"/>
  <c r="L320" i="14"/>
  <c r="O320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L306" i="14"/>
  <c r="P305" i="14"/>
  <c r="O305" i="14"/>
  <c r="N303" i="14"/>
  <c r="N301" i="14" s="1"/>
  <c r="M303" i="14"/>
  <c r="L303" i="14"/>
  <c r="P302" i="14"/>
  <c r="O302" i="14"/>
  <c r="N299" i="14"/>
  <c r="M299" i="14"/>
  <c r="P299" i="14" s="1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I276" i="14" s="1"/>
  <c r="K276" i="14" s="1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M280" i="14" s="1"/>
  <c r="L282" i="14"/>
  <c r="P281" i="14"/>
  <c r="O281" i="14"/>
  <c r="N278" i="14"/>
  <c r="M278" i="14"/>
  <c r="L278" i="14"/>
  <c r="O278" i="14" s="1"/>
  <c r="J276" i="14"/>
  <c r="I271" i="14"/>
  <c r="I260" i="14" s="1"/>
  <c r="K260" i="14" s="1"/>
  <c r="N269" i="14"/>
  <c r="M269" i="14"/>
  <c r="P269" i="14" s="1"/>
  <c r="L269" i="14"/>
  <c r="O269" i="14" s="1"/>
  <c r="P268" i="14"/>
  <c r="O268" i="14"/>
  <c r="N266" i="14"/>
  <c r="N264" i="14" s="1"/>
  <c r="M266" i="14"/>
  <c r="L266" i="14"/>
  <c r="P265" i="14"/>
  <c r="O265" i="14"/>
  <c r="P262" i="14"/>
  <c r="O262" i="14"/>
  <c r="N262" i="14"/>
  <c r="M262" i="14"/>
  <c r="L262" i="14"/>
  <c r="J260" i="14"/>
  <c r="K258" i="14"/>
  <c r="K257" i="14"/>
  <c r="I255" i="14"/>
  <c r="I248" i="14" s="1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36" i="14"/>
  <c r="I236" i="14"/>
  <c r="K236" i="14" s="1"/>
  <c r="K235" i="14"/>
  <c r="J235" i="14"/>
  <c r="I235" i="14"/>
  <c r="J233" i="14"/>
  <c r="N231" i="14"/>
  <c r="N230" i="14"/>
  <c r="N229" i="14"/>
  <c r="N228" i="14"/>
  <c r="N227" i="14"/>
  <c r="J226" i="14"/>
  <c r="I225" i="14"/>
  <c r="K225" i="14" s="1"/>
  <c r="I224" i="14"/>
  <c r="I216" i="14" s="1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I197" i="14" s="1"/>
  <c r="K197" i="14" s="1"/>
  <c r="L202" i="14"/>
  <c r="L201" i="14"/>
  <c r="L200" i="14"/>
  <c r="L199" i="14"/>
  <c r="P198" i="14"/>
  <c r="N198" i="14"/>
  <c r="J197" i="14"/>
  <c r="J195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L186" i="14"/>
  <c r="L184" i="14" s="1"/>
  <c r="P185" i="14"/>
  <c r="O185" i="14"/>
  <c r="P182" i="14"/>
  <c r="N182" i="14"/>
  <c r="M182" i="14"/>
  <c r="L182" i="14"/>
  <c r="J180" i="14"/>
  <c r="J177" i="14"/>
  <c r="I176" i="14"/>
  <c r="I174" i="14" s="1"/>
  <c r="I164" i="14" s="1"/>
  <c r="K164" i="14" s="1"/>
  <c r="J174" i="14"/>
  <c r="J164" i="14" s="1"/>
  <c r="N173" i="14"/>
  <c r="N171" i="14" s="1"/>
  <c r="M173" i="14"/>
  <c r="P173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O166" i="14"/>
  <c r="N166" i="14"/>
  <c r="M166" i="14"/>
  <c r="L166" i="14"/>
  <c r="I159" i="14"/>
  <c r="I148" i="14" s="1"/>
  <c r="K148" i="14" s="1"/>
  <c r="N157" i="14"/>
  <c r="N155" i="14" s="1"/>
  <c r="M157" i="14"/>
  <c r="P157" i="14" s="1"/>
  <c r="L157" i="14"/>
  <c r="P156" i="14"/>
  <c r="O156" i="14"/>
  <c r="N154" i="14"/>
  <c r="N152" i="14" s="1"/>
  <c r="M154" i="14"/>
  <c r="L154" i="14"/>
  <c r="O154" i="14" s="1"/>
  <c r="P153" i="14"/>
  <c r="O153" i="14"/>
  <c r="N150" i="14"/>
  <c r="M150" i="14"/>
  <c r="L150" i="14"/>
  <c r="O150" i="14" s="1"/>
  <c r="J148" i="14"/>
  <c r="I146" i="14"/>
  <c r="K146" i="14" s="1"/>
  <c r="I145" i="14"/>
  <c r="I144" i="14"/>
  <c r="K144" i="14" s="1"/>
  <c r="N140" i="14"/>
  <c r="N138" i="14" s="1"/>
  <c r="M140" i="14"/>
  <c r="M138" i="14" s="1"/>
  <c r="P138" i="14" s="1"/>
  <c r="L140" i="14"/>
  <c r="O140" i="14" s="1"/>
  <c r="P139" i="14"/>
  <c r="O139" i="14"/>
  <c r="N137" i="14"/>
  <c r="M137" i="14"/>
  <c r="L137" i="14"/>
  <c r="O137" i="14" s="1"/>
  <c r="P136" i="14"/>
  <c r="O136" i="14"/>
  <c r="P133" i="14"/>
  <c r="O133" i="14"/>
  <c r="N133" i="14"/>
  <c r="M133" i="14"/>
  <c r="L133" i="14"/>
  <c r="J130" i="14"/>
  <c r="N127" i="14"/>
  <c r="M127" i="14"/>
  <c r="P127" i="14" s="1"/>
  <c r="L127" i="14"/>
  <c r="P126" i="14"/>
  <c r="O126" i="14"/>
  <c r="N124" i="14"/>
  <c r="N122" i="14" s="1"/>
  <c r="M124" i="14"/>
  <c r="L124" i="14"/>
  <c r="O124" i="14" s="1"/>
  <c r="P123" i="14"/>
  <c r="O123" i="14"/>
  <c r="P120" i="14"/>
  <c r="N120" i="14"/>
  <c r="M120" i="14"/>
  <c r="L120" i="14"/>
  <c r="O120" i="14" s="1"/>
  <c r="I116" i="14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K99" i="14" s="1"/>
  <c r="J98" i="14"/>
  <c r="I98" i="14"/>
  <c r="I86" i="14" s="1"/>
  <c r="N96" i="14"/>
  <c r="N94" i="14" s="1"/>
  <c r="M96" i="14"/>
  <c r="P96" i="14" s="1"/>
  <c r="L96" i="14"/>
  <c r="P95" i="14"/>
  <c r="O95" i="14"/>
  <c r="N93" i="14"/>
  <c r="N91" i="14" s="1"/>
  <c r="M93" i="14"/>
  <c r="L93" i="14"/>
  <c r="L91" i="14" s="1"/>
  <c r="P92" i="14"/>
  <c r="O92" i="14"/>
  <c r="P89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J77" i="14"/>
  <c r="J65" i="14" s="1"/>
  <c r="J76" i="14"/>
  <c r="N74" i="14"/>
  <c r="M74" i="14"/>
  <c r="L74" i="14"/>
  <c r="O74" i="14" s="1"/>
  <c r="P73" i="14"/>
  <c r="O73" i="14"/>
  <c r="N71" i="14"/>
  <c r="N69" i="14" s="1"/>
  <c r="M71" i="14"/>
  <c r="M69" i="14" s="1"/>
  <c r="L71" i="14"/>
  <c r="P70" i="14"/>
  <c r="O70" i="14"/>
  <c r="P67" i="14"/>
  <c r="O67" i="14"/>
  <c r="N67" i="14"/>
  <c r="M67" i="14"/>
  <c r="L67" i="14"/>
  <c r="J64" i="14"/>
  <c r="N61" i="14"/>
  <c r="N59" i="14" s="1"/>
  <c r="M61" i="14"/>
  <c r="L61" i="14"/>
  <c r="P60" i="14"/>
  <c r="O60" i="14"/>
  <c r="N58" i="14"/>
  <c r="M58" i="14"/>
  <c r="M56" i="14" s="1"/>
  <c r="L58" i="14"/>
  <c r="L56" i="14" s="1"/>
  <c r="P57" i="14"/>
  <c r="O57" i="14"/>
  <c r="N54" i="14"/>
  <c r="M54" i="14"/>
  <c r="L54" i="14"/>
  <c r="O54" i="14" s="1"/>
  <c r="N49" i="14"/>
  <c r="N47" i="14" s="1"/>
  <c r="M49" i="14"/>
  <c r="M47" i="14" s="1"/>
  <c r="P47" i="14" s="1"/>
  <c r="L49" i="14"/>
  <c r="O49" i="14" s="1"/>
  <c r="P48" i="14"/>
  <c r="O48" i="14"/>
  <c r="N46" i="14"/>
  <c r="N44" i="14" s="1"/>
  <c r="M46" i="14"/>
  <c r="L46" i="14"/>
  <c r="L44" i="14" s="1"/>
  <c r="P45" i="14"/>
  <c r="O45" i="14"/>
  <c r="O42" i="14"/>
  <c r="N42" i="14"/>
  <c r="M42" i="14"/>
  <c r="P42" i="14" s="1"/>
  <c r="L42" i="14"/>
  <c r="N36" i="14"/>
  <c r="N30" i="14" s="1"/>
  <c r="N28" i="14" s="1"/>
  <c r="M36" i="14"/>
  <c r="P36" i="14" s="1"/>
  <c r="O35" i="14"/>
  <c r="N35" i="14"/>
  <c r="M35" i="14"/>
  <c r="L35" i="14"/>
  <c r="L29" i="14" s="1"/>
  <c r="O29" i="14" s="1"/>
  <c r="N34" i="14"/>
  <c r="N33" i="14"/>
  <c r="O32" i="14"/>
  <c r="N32" i="14"/>
  <c r="N29" i="14" s="1"/>
  <c r="M32" i="14"/>
  <c r="P32" i="14" s="1"/>
  <c r="L32" i="14"/>
  <c r="P25" i="14"/>
  <c r="O25" i="14"/>
  <c r="N25" i="14"/>
  <c r="M25" i="14"/>
  <c r="L25" i="14"/>
  <c r="N22" i="14"/>
  <c r="M22" i="14"/>
  <c r="L22" i="14"/>
  <c r="O22" i="14" s="1"/>
  <c r="O15" i="14"/>
  <c r="N15" i="14"/>
  <c r="M15" i="14"/>
  <c r="P15" i="14" s="1"/>
  <c r="L15" i="14"/>
  <c r="M12" i="14"/>
  <c r="M9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N808" i="13"/>
  <c r="M808" i="13"/>
  <c r="P808" i="13" s="1"/>
  <c r="L808" i="13"/>
  <c r="O808" i="13" s="1"/>
  <c r="M807" i="13"/>
  <c r="L807" i="13"/>
  <c r="O807" i="13" s="1"/>
  <c r="P806" i="13"/>
  <c r="N806" i="13"/>
  <c r="M806" i="13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P796" i="13"/>
  <c r="N796" i="13"/>
  <c r="M796" i="13"/>
  <c r="L796" i="13"/>
  <c r="O796" i="13" s="1"/>
  <c r="N795" i="13"/>
  <c r="N791" i="13" s="1"/>
  <c r="L791" i="13"/>
  <c r="L788" i="13" s="1"/>
  <c r="P790" i="13"/>
  <c r="O790" i="13"/>
  <c r="P787" i="13"/>
  <c r="O787" i="13"/>
  <c r="N787" i="13"/>
  <c r="M787" i="13"/>
  <c r="L787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2" i="13" s="1"/>
  <c r="N770" i="13" s="1"/>
  <c r="P774" i="13"/>
  <c r="O774" i="13"/>
  <c r="N773" i="13"/>
  <c r="M773" i="13"/>
  <c r="P773" i="13" s="1"/>
  <c r="L773" i="13"/>
  <c r="O773" i="13" s="1"/>
  <c r="M772" i="13"/>
  <c r="L772" i="13"/>
  <c r="O772" i="13" s="1"/>
  <c r="P771" i="13"/>
  <c r="N771" i="13"/>
  <c r="M771" i="13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6" i="13" s="1"/>
  <c r="N754" i="13" s="1"/>
  <c r="P758" i="13"/>
  <c r="O758" i="13"/>
  <c r="N757" i="13"/>
  <c r="M757" i="13"/>
  <c r="P757" i="13" s="1"/>
  <c r="L757" i="13"/>
  <c r="O757" i="13" s="1"/>
  <c r="M756" i="13"/>
  <c r="L756" i="13"/>
  <c r="O756" i="13" s="1"/>
  <c r="P755" i="13"/>
  <c r="N755" i="13"/>
  <c r="M755" i="13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39" i="13" s="1"/>
  <c r="N737" i="13" s="1"/>
  <c r="P741" i="13"/>
  <c r="O741" i="13"/>
  <c r="N740" i="13"/>
  <c r="M740" i="13"/>
  <c r="P740" i="13" s="1"/>
  <c r="L740" i="13"/>
  <c r="O740" i="13" s="1"/>
  <c r="M739" i="13"/>
  <c r="L739" i="13"/>
  <c r="O739" i="13" s="1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N690" i="13"/>
  <c r="N687" i="13" s="1"/>
  <c r="N685" i="13" s="1"/>
  <c r="L690" i="13"/>
  <c r="M690" i="13" s="1"/>
  <c r="M687" i="13" s="1"/>
  <c r="N688" i="13"/>
  <c r="P686" i="13"/>
  <c r="N686" i="13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72" i="13" s="1"/>
  <c r="P667" i="13"/>
  <c r="O667" i="13"/>
  <c r="P666" i="13"/>
  <c r="O666" i="13"/>
  <c r="P665" i="13"/>
  <c r="N665" i="13"/>
  <c r="M665" i="13"/>
  <c r="L665" i="13"/>
  <c r="O665" i="13" s="1"/>
  <c r="N660" i="13"/>
  <c r="L660" i="13"/>
  <c r="M660" i="13" s="1"/>
  <c r="P659" i="13"/>
  <c r="O659" i="13"/>
  <c r="N657" i="13"/>
  <c r="P656" i="13"/>
  <c r="O656" i="13"/>
  <c r="N656" i="13"/>
  <c r="M656" i="13"/>
  <c r="L656" i="13"/>
  <c r="N655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N638" i="13"/>
  <c r="N634" i="13"/>
  <c r="N632" i="13" s="1"/>
  <c r="L634" i="13"/>
  <c r="M634" i="13" s="1"/>
  <c r="P633" i="13"/>
  <c r="O633" i="13"/>
  <c r="N631" i="13"/>
  <c r="N630" i="13"/>
  <c r="N629" i="13" s="1"/>
  <c r="M630" i="13"/>
  <c r="P630" i="13" s="1"/>
  <c r="L630" i="13"/>
  <c r="O630" i="13" s="1"/>
  <c r="I628" i="13"/>
  <c r="J621" i="13"/>
  <c r="I621" i="13"/>
  <c r="J620" i="13"/>
  <c r="I620" i="13"/>
  <c r="K613" i="13"/>
  <c r="J613" i="13"/>
  <c r="K612" i="13"/>
  <c r="J612" i="13"/>
  <c r="K611" i="13"/>
  <c r="J611" i="13"/>
  <c r="J604" i="13"/>
  <c r="J603" i="13"/>
  <c r="J593" i="13" s="1"/>
  <c r="J592" i="13" s="1"/>
  <c r="J596" i="13"/>
  <c r="J594" i="13" s="1"/>
  <c r="J595" i="13"/>
  <c r="I594" i="13"/>
  <c r="I593" i="13"/>
  <c r="I592" i="13" s="1"/>
  <c r="K592" i="13" s="1"/>
  <c r="J583" i="13"/>
  <c r="J577" i="13" s="1"/>
  <c r="J582" i="13"/>
  <c r="I577" i="13"/>
  <c r="J576" i="13"/>
  <c r="J559" i="13" s="1"/>
  <c r="J543" i="13" s="1"/>
  <c r="I576" i="13"/>
  <c r="I559" i="13" s="1"/>
  <c r="J569" i="13"/>
  <c r="I569" i="13"/>
  <c r="J568" i="13"/>
  <c r="I568" i="13"/>
  <c r="J561" i="13"/>
  <c r="I561" i="13"/>
  <c r="J560" i="13"/>
  <c r="I560" i="13"/>
  <c r="P557" i="13"/>
  <c r="L557" i="13"/>
  <c r="L555" i="13" s="1"/>
  <c r="O555" i="13" s="1"/>
  <c r="P556" i="13"/>
  <c r="O556" i="13"/>
  <c r="N555" i="13"/>
  <c r="N545" i="13" s="1"/>
  <c r="M555" i="13"/>
  <c r="P555" i="13" s="1"/>
  <c r="N553" i="13"/>
  <c r="N549" i="13"/>
  <c r="N547" i="13" s="1"/>
  <c r="L549" i="13"/>
  <c r="O549" i="13" s="1"/>
  <c r="P548" i="13"/>
  <c r="O548" i="13"/>
  <c r="N546" i="13"/>
  <c r="M545" i="13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L533" i="13" s="1"/>
  <c r="O533" i="13" s="1"/>
  <c r="P534" i="13"/>
  <c r="O534" i="13"/>
  <c r="N533" i="13"/>
  <c r="M533" i="13"/>
  <c r="P533" i="13" s="1"/>
  <c r="P528" i="13"/>
  <c r="N528" i="13"/>
  <c r="L528" i="13"/>
  <c r="P527" i="13"/>
  <c r="O527" i="13"/>
  <c r="N526" i="13"/>
  <c r="M526" i="13"/>
  <c r="P526" i="13" s="1"/>
  <c r="P525" i="13"/>
  <c r="N525" i="13"/>
  <c r="M525" i="13"/>
  <c r="P524" i="13"/>
  <c r="O524" i="13"/>
  <c r="N524" i="13"/>
  <c r="N523" i="13" s="1"/>
  <c r="M524" i="13"/>
  <c r="L524" i="13"/>
  <c r="P523" i="13"/>
  <c r="M523" i="13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P506" i="13"/>
  <c r="O506" i="13"/>
  <c r="P505" i="13"/>
  <c r="O505" i="13"/>
  <c r="N505" i="13"/>
  <c r="M505" i="13"/>
  <c r="L505" i="13"/>
  <c r="P504" i="13"/>
  <c r="O504" i="13"/>
  <c r="N504" i="13"/>
  <c r="M504" i="13"/>
  <c r="L504" i="13"/>
  <c r="O503" i="13"/>
  <c r="N503" i="13"/>
  <c r="M503" i="13"/>
  <c r="P503" i="13" s="1"/>
  <c r="L503" i="13"/>
  <c r="L502" i="13" s="1"/>
  <c r="O502" i="13" s="1"/>
  <c r="N502" i="13"/>
  <c r="M502" i="13"/>
  <c r="P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P477" i="13"/>
  <c r="N477" i="13"/>
  <c r="M477" i="13"/>
  <c r="L477" i="13"/>
  <c r="O477" i="13" s="1"/>
  <c r="N476" i="13"/>
  <c r="N472" i="13" s="1"/>
  <c r="L472" i="13"/>
  <c r="P471" i="13"/>
  <c r="O471" i="13"/>
  <c r="P468" i="13"/>
  <c r="O468" i="13"/>
  <c r="N468" i="13"/>
  <c r="M468" i="13"/>
  <c r="L468" i="13"/>
  <c r="J466" i="13"/>
  <c r="I466" i="13"/>
  <c r="J465" i="13"/>
  <c r="I465" i="13"/>
  <c r="I464" i="13"/>
  <c r="K464" i="13" s="1"/>
  <c r="I463" i="13"/>
  <c r="K463" i="13" s="1"/>
  <c r="I462" i="13"/>
  <c r="I443" i="13" s="1"/>
  <c r="K443" i="13" s="1"/>
  <c r="I460" i="13"/>
  <c r="K460" i="13" s="1"/>
  <c r="K458" i="13"/>
  <c r="P456" i="13"/>
  <c r="L456" i="13"/>
  <c r="L454" i="13" s="1"/>
  <c r="O454" i="13" s="1"/>
  <c r="P455" i="13"/>
  <c r="O455" i="13"/>
  <c r="P454" i="13"/>
  <c r="N454" i="13"/>
  <c r="M454" i="13"/>
  <c r="N453" i="13"/>
  <c r="N449" i="13"/>
  <c r="L449" i="13"/>
  <c r="L447" i="13" s="1"/>
  <c r="P448" i="13"/>
  <c r="O448" i="13"/>
  <c r="N446" i="13"/>
  <c r="O445" i="13"/>
  <c r="N445" i="13"/>
  <c r="M445" i="13"/>
  <c r="P445" i="13" s="1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I433" i="13" s="1"/>
  <c r="J434" i="13"/>
  <c r="P431" i="13"/>
  <c r="L431" i="13"/>
  <c r="P430" i="13"/>
  <c r="O430" i="13"/>
  <c r="N429" i="13"/>
  <c r="M429" i="13"/>
  <c r="P429" i="13" s="1"/>
  <c r="N428" i="13"/>
  <c r="N424" i="13" s="1"/>
  <c r="N421" i="13" s="1"/>
  <c r="L424" i="13"/>
  <c r="P423" i="13"/>
  <c r="O423" i="13"/>
  <c r="N422" i="13"/>
  <c r="P420" i="13"/>
  <c r="O420" i="13"/>
  <c r="N420" i="13"/>
  <c r="M420" i="13"/>
  <c r="L420" i="13"/>
  <c r="N419" i="13"/>
  <c r="J418" i="13"/>
  <c r="K413" i="13"/>
  <c r="K412" i="13"/>
  <c r="N410" i="13"/>
  <c r="N408" i="13" s="1"/>
  <c r="M410" i="13"/>
  <c r="M408" i="13" s="1"/>
  <c r="P408" i="13" s="1"/>
  <c r="L410" i="13"/>
  <c r="L408" i="13" s="1"/>
  <c r="O408" i="13" s="1"/>
  <c r="P409" i="13"/>
  <c r="O409" i="13"/>
  <c r="N407" i="13"/>
  <c r="N405" i="13" s="1"/>
  <c r="M407" i="13"/>
  <c r="L407" i="13"/>
  <c r="P406" i="13"/>
  <c r="O406" i="13"/>
  <c r="P403" i="13"/>
  <c r="N403" i="13"/>
  <c r="M403" i="13"/>
  <c r="L403" i="13"/>
  <c r="J401" i="13"/>
  <c r="I401" i="13"/>
  <c r="K401" i="13" s="1"/>
  <c r="K400" i="13"/>
  <c r="K399" i="13"/>
  <c r="N397" i="13"/>
  <c r="M397" i="13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P390" i="13"/>
  <c r="O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M350" i="13"/>
  <c r="L350" i="13"/>
  <c r="L348" i="13" s="1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M336" i="13"/>
  <c r="L336" i="13"/>
  <c r="O336" i="13" s="1"/>
  <c r="P335" i="13"/>
  <c r="O335" i="13"/>
  <c r="N333" i="13"/>
  <c r="N331" i="13" s="1"/>
  <c r="M333" i="13"/>
  <c r="M331" i="13" s="1"/>
  <c r="L333" i="13"/>
  <c r="L331" i="13" s="1"/>
  <c r="P332" i="13"/>
  <c r="O332" i="13"/>
  <c r="P329" i="13"/>
  <c r="O329" i="13"/>
  <c r="N329" i="13"/>
  <c r="M329" i="13"/>
  <c r="L329" i="13"/>
  <c r="I327" i="13"/>
  <c r="I325" i="13"/>
  <c r="I314" i="13" s="1"/>
  <c r="K314" i="13" s="1"/>
  <c r="N323" i="13"/>
  <c r="M323" i="13"/>
  <c r="P323" i="13" s="1"/>
  <c r="L323" i="13"/>
  <c r="O323" i="13" s="1"/>
  <c r="P322" i="13"/>
  <c r="O322" i="13"/>
  <c r="N320" i="13"/>
  <c r="N318" i="13" s="1"/>
  <c r="M320" i="13"/>
  <c r="L320" i="13"/>
  <c r="L318" i="13" s="1"/>
  <c r="O318" i="13" s="1"/>
  <c r="P319" i="13"/>
  <c r="O319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O306" i="13" s="1"/>
  <c r="P305" i="13"/>
  <c r="O305" i="13"/>
  <c r="N303" i="13"/>
  <c r="N301" i="13" s="1"/>
  <c r="M303" i="13"/>
  <c r="L303" i="13"/>
  <c r="O303" i="13" s="1"/>
  <c r="P302" i="13"/>
  <c r="O302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J288" i="13" s="1"/>
  <c r="I287" i="13"/>
  <c r="I276" i="13" s="1"/>
  <c r="K276" i="13" s="1"/>
  <c r="N285" i="13"/>
  <c r="N283" i="13" s="1"/>
  <c r="M285" i="13"/>
  <c r="P285" i="13" s="1"/>
  <c r="L285" i="13"/>
  <c r="L283" i="13" s="1"/>
  <c r="O283" i="13" s="1"/>
  <c r="P284" i="13"/>
  <c r="O284" i="13"/>
  <c r="N282" i="13"/>
  <c r="N280" i="13" s="1"/>
  <c r="M282" i="13"/>
  <c r="M280" i="13" s="1"/>
  <c r="L282" i="13"/>
  <c r="L280" i="13" s="1"/>
  <c r="P281" i="13"/>
  <c r="O281" i="13"/>
  <c r="N278" i="13"/>
  <c r="M278" i="13"/>
  <c r="P278" i="13" s="1"/>
  <c r="L278" i="13"/>
  <c r="O278" i="13" s="1"/>
  <c r="J276" i="13"/>
  <c r="I271" i="13"/>
  <c r="N269" i="13"/>
  <c r="N267" i="13" s="1"/>
  <c r="M269" i="13"/>
  <c r="L269" i="13"/>
  <c r="O269" i="13" s="1"/>
  <c r="P268" i="13"/>
  <c r="O268" i="13"/>
  <c r="N266" i="13"/>
  <c r="M266" i="13"/>
  <c r="L266" i="13"/>
  <c r="L264" i="13" s="1"/>
  <c r="P265" i="13"/>
  <c r="O265" i="13"/>
  <c r="N262" i="13"/>
  <c r="M262" i="13"/>
  <c r="L262" i="13"/>
  <c r="O262" i="13" s="1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L242" i="13"/>
  <c r="L241" i="13"/>
  <c r="L240" i="13"/>
  <c r="L239" i="13"/>
  <c r="P238" i="13"/>
  <c r="N238" i="13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N227" i="13"/>
  <c r="J226" i="13"/>
  <c r="J180" i="13" s="1"/>
  <c r="I225" i="13"/>
  <c r="K225" i="13" s="1"/>
  <c r="I224" i="13"/>
  <c r="I216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I197" i="13" s="1"/>
  <c r="L202" i="13"/>
  <c r="L201" i="13"/>
  <c r="L200" i="13"/>
  <c r="L199" i="13"/>
  <c r="P198" i="13"/>
  <c r="N198" i="13"/>
  <c r="J197" i="13"/>
  <c r="J194" i="13"/>
  <c r="I193" i="13"/>
  <c r="P191" i="13"/>
  <c r="L191" i="13"/>
  <c r="O191" i="13" s="1"/>
  <c r="J190" i="13"/>
  <c r="N189" i="13"/>
  <c r="N187" i="13" s="1"/>
  <c r="M189" i="13"/>
  <c r="P189" i="13" s="1"/>
  <c r="L189" i="13"/>
  <c r="O189" i="13" s="1"/>
  <c r="P188" i="13"/>
  <c r="O188" i="13"/>
  <c r="N186" i="13"/>
  <c r="M186" i="13"/>
  <c r="M184" i="13" s="1"/>
  <c r="L186" i="13"/>
  <c r="L184" i="13" s="1"/>
  <c r="P185" i="13"/>
  <c r="O185" i="13"/>
  <c r="O182" i="13"/>
  <c r="N182" i="13"/>
  <c r="M182" i="13"/>
  <c r="P182" i="13" s="1"/>
  <c r="L182" i="13"/>
  <c r="J177" i="13"/>
  <c r="I176" i="13"/>
  <c r="K176" i="13" s="1"/>
  <c r="J174" i="13"/>
  <c r="N173" i="13"/>
  <c r="N171" i="13" s="1"/>
  <c r="M173" i="13"/>
  <c r="P173" i="13" s="1"/>
  <c r="L173" i="13"/>
  <c r="O173" i="13" s="1"/>
  <c r="P172" i="13"/>
  <c r="O172" i="13"/>
  <c r="N170" i="13"/>
  <c r="M170" i="13"/>
  <c r="M168" i="13" s="1"/>
  <c r="L170" i="13"/>
  <c r="L168" i="13" s="1"/>
  <c r="P169" i="13"/>
  <c r="O169" i="13"/>
  <c r="P166" i="13"/>
  <c r="O166" i="13"/>
  <c r="N166" i="13"/>
  <c r="M166" i="13"/>
  <c r="L166" i="13"/>
  <c r="J164" i="13"/>
  <c r="I159" i="13"/>
  <c r="K159" i="13" s="1"/>
  <c r="N157" i="13"/>
  <c r="N155" i="13" s="1"/>
  <c r="M157" i="13"/>
  <c r="M155" i="13" s="1"/>
  <c r="P155" i="13" s="1"/>
  <c r="L157" i="13"/>
  <c r="O157" i="13" s="1"/>
  <c r="P156" i="13"/>
  <c r="O156" i="13"/>
  <c r="N154" i="13"/>
  <c r="N152" i="13" s="1"/>
  <c r="M154" i="13"/>
  <c r="M152" i="13" s="1"/>
  <c r="L154" i="13"/>
  <c r="O154" i="13" s="1"/>
  <c r="P153" i="13"/>
  <c r="O153" i="13"/>
  <c r="P150" i="13"/>
  <c r="N150" i="13"/>
  <c r="M150" i="13"/>
  <c r="L150" i="13"/>
  <c r="O150" i="13" s="1"/>
  <c r="J148" i="13"/>
  <c r="I146" i="13"/>
  <c r="K146" i="13" s="1"/>
  <c r="I145" i="13"/>
  <c r="I144" i="13"/>
  <c r="N140" i="13"/>
  <c r="M140" i="13"/>
  <c r="M138" i="13" s="1"/>
  <c r="L140" i="13"/>
  <c r="L138" i="13" s="1"/>
  <c r="P139" i="13"/>
  <c r="O139" i="13"/>
  <c r="N137" i="13"/>
  <c r="M137" i="13"/>
  <c r="M135" i="13" s="1"/>
  <c r="L137" i="13"/>
  <c r="L135" i="13" s="1"/>
  <c r="P136" i="13"/>
  <c r="O136" i="13"/>
  <c r="P133" i="13"/>
  <c r="N133" i="13"/>
  <c r="M133" i="13"/>
  <c r="L133" i="13"/>
  <c r="O133" i="13" s="1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M122" i="13" s="1"/>
  <c r="P122" i="13" s="1"/>
  <c r="L124" i="13"/>
  <c r="O124" i="13" s="1"/>
  <c r="P123" i="13"/>
  <c r="O123" i="13"/>
  <c r="P120" i="13"/>
  <c r="N120" i="13"/>
  <c r="M120" i="13"/>
  <c r="L120" i="13"/>
  <c r="O120" i="13" s="1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J98" i="13"/>
  <c r="I98" i="13"/>
  <c r="I86" i="13" s="1"/>
  <c r="N96" i="13"/>
  <c r="N94" i="13" s="1"/>
  <c r="M96" i="13"/>
  <c r="L96" i="13"/>
  <c r="O96" i="13" s="1"/>
  <c r="P95" i="13"/>
  <c r="O95" i="13"/>
  <c r="N93" i="13"/>
  <c r="N91" i="13" s="1"/>
  <c r="M93" i="13"/>
  <c r="L93" i="13"/>
  <c r="P92" i="13"/>
  <c r="O92" i="13"/>
  <c r="P89" i="13"/>
  <c r="N89" i="13"/>
  <c r="M89" i="13"/>
  <c r="L89" i="13"/>
  <c r="J86" i="13"/>
  <c r="I84" i="13"/>
  <c r="K84" i="13" s="1"/>
  <c r="I83" i="13"/>
  <c r="K83" i="13" s="1"/>
  <c r="I82" i="13"/>
  <c r="K82" i="13" s="1"/>
  <c r="I81" i="13"/>
  <c r="I80" i="13"/>
  <c r="K80" i="13" s="1"/>
  <c r="I79" i="13"/>
  <c r="K79" i="13" s="1"/>
  <c r="I78" i="13"/>
  <c r="K78" i="13" s="1"/>
  <c r="J77" i="13"/>
  <c r="J76" i="13"/>
  <c r="N74" i="13"/>
  <c r="N72" i="13" s="1"/>
  <c r="M74" i="13"/>
  <c r="P74" i="13" s="1"/>
  <c r="L74" i="13"/>
  <c r="L72" i="13" s="1"/>
  <c r="O72" i="13" s="1"/>
  <c r="P73" i="13"/>
  <c r="O73" i="13"/>
  <c r="N71" i="13"/>
  <c r="N69" i="13" s="1"/>
  <c r="M71" i="13"/>
  <c r="P71" i="13" s="1"/>
  <c r="L71" i="13"/>
  <c r="L69" i="13" s="1"/>
  <c r="O69" i="13" s="1"/>
  <c r="P70" i="13"/>
  <c r="O70" i="13"/>
  <c r="O67" i="13"/>
  <c r="N67" i="13"/>
  <c r="M67" i="13"/>
  <c r="P67" i="13" s="1"/>
  <c r="L67" i="13"/>
  <c r="J65" i="13"/>
  <c r="J64" i="13"/>
  <c r="N61" i="13"/>
  <c r="M61" i="13"/>
  <c r="P61" i="13" s="1"/>
  <c r="L61" i="13"/>
  <c r="O61" i="13" s="1"/>
  <c r="P60" i="13"/>
  <c r="O60" i="13"/>
  <c r="N58" i="13"/>
  <c r="N56" i="13" s="1"/>
  <c r="M58" i="13"/>
  <c r="M56" i="13" s="1"/>
  <c r="L58" i="13"/>
  <c r="L56" i="13" s="1"/>
  <c r="P57" i="13"/>
  <c r="O57" i="13"/>
  <c r="P54" i="13"/>
  <c r="N54" i="13"/>
  <c r="M54" i="13"/>
  <c r="L54" i="13"/>
  <c r="N49" i="13"/>
  <c r="N47" i="13" s="1"/>
  <c r="M49" i="13"/>
  <c r="P49" i="13" s="1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O42" i="13"/>
  <c r="N42" i="13"/>
  <c r="M42" i="13"/>
  <c r="P42" i="13" s="1"/>
  <c r="L42" i="13"/>
  <c r="P36" i="13"/>
  <c r="N36" i="13"/>
  <c r="N34" i="13" s="1"/>
  <c r="M36" i="13"/>
  <c r="O35" i="13"/>
  <c r="N35" i="13"/>
  <c r="M35" i="13"/>
  <c r="M34" i="13" s="1"/>
  <c r="L35" i="13"/>
  <c r="P34" i="13"/>
  <c r="N33" i="13"/>
  <c r="N32" i="13"/>
  <c r="M32" i="13"/>
  <c r="P32" i="13" s="1"/>
  <c r="L32" i="13"/>
  <c r="P25" i="13"/>
  <c r="N25" i="13"/>
  <c r="M25" i="13"/>
  <c r="L25" i="13"/>
  <c r="O22" i="13"/>
  <c r="N22" i="13"/>
  <c r="M22" i="13"/>
  <c r="M12" i="13" s="1"/>
  <c r="L22" i="13"/>
  <c r="N12" i="13"/>
  <c r="L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L791" i="12"/>
  <c r="M791" i="12" s="1"/>
  <c r="P790" i="12"/>
  <c r="O790" i="12"/>
  <c r="N789" i="12"/>
  <c r="N788" i="12"/>
  <c r="P787" i="12"/>
  <c r="N787" i="12"/>
  <c r="N786" i="12" s="1"/>
  <c r="M787" i="12"/>
  <c r="L787" i="12"/>
  <c r="O787" i="12" s="1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M773" i="12"/>
  <c r="P773" i="12" s="1"/>
  <c r="L773" i="12"/>
  <c r="P772" i="12"/>
  <c r="M772" i="12"/>
  <c r="L772" i="12"/>
  <c r="O771" i="12"/>
  <c r="N771" i="12"/>
  <c r="M771" i="12"/>
  <c r="P771" i="12" s="1"/>
  <c r="L771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M757" i="12"/>
  <c r="P757" i="12" s="1"/>
  <c r="L757" i="12"/>
  <c r="P756" i="12"/>
  <c r="M756" i="12"/>
  <c r="L756" i="12"/>
  <c r="O755" i="12"/>
  <c r="N755" i="12"/>
  <c r="M755" i="12"/>
  <c r="P755" i="12" s="1"/>
  <c r="L755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M740" i="12"/>
  <c r="P740" i="12" s="1"/>
  <c r="L740" i="12"/>
  <c r="P739" i="12"/>
  <c r="M739" i="12"/>
  <c r="L739" i="12"/>
  <c r="O738" i="12"/>
  <c r="N738" i="12"/>
  <c r="M738" i="12"/>
  <c r="P738" i="12" s="1"/>
  <c r="L738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M690" i="12" s="1"/>
  <c r="O686" i="12"/>
  <c r="N686" i="12"/>
  <c r="M686" i="12"/>
  <c r="P686" i="12" s="1"/>
  <c r="L686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O660" i="12" s="1"/>
  <c r="P659" i="12"/>
  <c r="O659" i="12"/>
  <c r="N657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L639" i="12"/>
  <c r="O639" i="12" s="1"/>
  <c r="N634" i="12"/>
  <c r="L634" i="12"/>
  <c r="P633" i="12"/>
  <c r="O633" i="12"/>
  <c r="N632" i="12"/>
  <c r="N631" i="12"/>
  <c r="P630" i="12"/>
  <c r="N630" i="12"/>
  <c r="N629" i="12" s="1"/>
  <c r="M630" i="12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K577" i="12" s="1"/>
  <c r="J576" i="12"/>
  <c r="J559" i="12" s="1"/>
  <c r="J543" i="12" s="1"/>
  <c r="I576" i="12"/>
  <c r="I559" i="12" s="1"/>
  <c r="J569" i="12"/>
  <c r="I569" i="12"/>
  <c r="K569" i="12" s="1"/>
  <c r="J568" i="12"/>
  <c r="I568" i="12"/>
  <c r="J561" i="12"/>
  <c r="I561" i="12"/>
  <c r="K561" i="12" s="1"/>
  <c r="J560" i="12"/>
  <c r="I560" i="12"/>
  <c r="P557" i="12"/>
  <c r="L557" i="12"/>
  <c r="O557" i="12" s="1"/>
  <c r="P556" i="12"/>
  <c r="O556" i="12"/>
  <c r="P555" i="12"/>
  <c r="N555" i="12"/>
  <c r="M555" i="12"/>
  <c r="L555" i="12"/>
  <c r="O555" i="12" s="1"/>
  <c r="N549" i="12"/>
  <c r="L549" i="12"/>
  <c r="M549" i="12" s="1"/>
  <c r="P548" i="12"/>
  <c r="O548" i="12"/>
  <c r="N547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I537" i="12"/>
  <c r="K537" i="12" s="1"/>
  <c r="P535" i="12"/>
  <c r="L535" i="12"/>
  <c r="L533" i="12" s="1"/>
  <c r="O533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P524" i="12"/>
  <c r="N524" i="12"/>
  <c r="N523" i="12" s="1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N502" i="12" s="1"/>
  <c r="P506" i="12"/>
  <c r="O506" i="12"/>
  <c r="P505" i="12"/>
  <c r="N505" i="12"/>
  <c r="M505" i="12"/>
  <c r="L505" i="12"/>
  <c r="O505" i="12" s="1"/>
  <c r="O504" i="12"/>
  <c r="M504" i="12"/>
  <c r="L504" i="12"/>
  <c r="P503" i="12"/>
  <c r="N503" i="12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M472" i="12" s="1"/>
  <c r="P471" i="12"/>
  <c r="O471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L446" i="12" s="1"/>
  <c r="P448" i="12"/>
  <c r="O448" i="12"/>
  <c r="N446" i="12"/>
  <c r="O445" i="12"/>
  <c r="N445" i="12"/>
  <c r="M445" i="12"/>
  <c r="P445" i="12" s="1"/>
  <c r="L445" i="12"/>
  <c r="N444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K435" i="12" s="1"/>
  <c r="J434" i="12"/>
  <c r="J418" i="12" s="1"/>
  <c r="P431" i="12"/>
  <c r="L431" i="12"/>
  <c r="O431" i="12" s="1"/>
  <c r="P430" i="12"/>
  <c r="O430" i="12"/>
  <c r="P429" i="12"/>
  <c r="N429" i="12"/>
  <c r="M429" i="12"/>
  <c r="L429" i="12"/>
  <c r="O429" i="12" s="1"/>
  <c r="N424" i="12"/>
  <c r="L424" i="12"/>
  <c r="P423" i="12"/>
  <c r="O423" i="12"/>
  <c r="N422" i="12"/>
  <c r="N421" i="12"/>
  <c r="P420" i="12"/>
  <c r="N420" i="12"/>
  <c r="N419" i="12" s="1"/>
  <c r="M420" i="12"/>
  <c r="L420" i="12"/>
  <c r="K413" i="12"/>
  <c r="K412" i="12"/>
  <c r="N410" i="12"/>
  <c r="N408" i="12" s="1"/>
  <c r="M410" i="12"/>
  <c r="L410" i="12"/>
  <c r="O410" i="12" s="1"/>
  <c r="P409" i="12"/>
  <c r="O409" i="12"/>
  <c r="N407" i="12"/>
  <c r="M407" i="12"/>
  <c r="L407" i="12"/>
  <c r="O407" i="12" s="1"/>
  <c r="P406" i="12"/>
  <c r="O406" i="12"/>
  <c r="N403" i="12"/>
  <c r="M403" i="12"/>
  <c r="L403" i="12"/>
  <c r="O403" i="12" s="1"/>
  <c r="K401" i="12"/>
  <c r="J401" i="12"/>
  <c r="I401" i="12"/>
  <c r="K400" i="12"/>
  <c r="K399" i="12"/>
  <c r="N397" i="12"/>
  <c r="N395" i="12" s="1"/>
  <c r="M397" i="12"/>
  <c r="M395" i="12" s="1"/>
  <c r="P395" i="12" s="1"/>
  <c r="L397" i="12"/>
  <c r="O397" i="12" s="1"/>
  <c r="P396" i="12"/>
  <c r="O396" i="12"/>
  <c r="N394" i="12"/>
  <c r="N392" i="12" s="1"/>
  <c r="M394" i="12"/>
  <c r="M392" i="12" s="1"/>
  <c r="P392" i="12" s="1"/>
  <c r="L394" i="12"/>
  <c r="O394" i="12" s="1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P352" i="12"/>
  <c r="O352" i="12"/>
  <c r="N350" i="12"/>
  <c r="N348" i="12" s="1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N331" i="12" s="1"/>
  <c r="M333" i="12"/>
  <c r="L333" i="12"/>
  <c r="L331" i="12" s="1"/>
  <c r="P332" i="12"/>
  <c r="O332" i="12"/>
  <c r="P329" i="12"/>
  <c r="O329" i="12"/>
  <c r="N329" i="12"/>
  <c r="M329" i="12"/>
  <c r="L329" i="12"/>
  <c r="I327" i="12"/>
  <c r="I325" i="12"/>
  <c r="N323" i="12"/>
  <c r="N321" i="12" s="1"/>
  <c r="M323" i="12"/>
  <c r="P323" i="12" s="1"/>
  <c r="L323" i="12"/>
  <c r="L321" i="12" s="1"/>
  <c r="O321" i="12" s="1"/>
  <c r="P322" i="12"/>
  <c r="O322" i="12"/>
  <c r="N320" i="12"/>
  <c r="N318" i="12" s="1"/>
  <c r="M320" i="12"/>
  <c r="M318" i="12" s="1"/>
  <c r="P318" i="12" s="1"/>
  <c r="L320" i="12"/>
  <c r="O320" i="12" s="1"/>
  <c r="P319" i="12"/>
  <c r="O319" i="12"/>
  <c r="P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L306" i="12"/>
  <c r="L304" i="12" s="1"/>
  <c r="O304" i="12" s="1"/>
  <c r="P305" i="12"/>
  <c r="O305" i="12"/>
  <c r="N303" i="12"/>
  <c r="M303" i="12"/>
  <c r="L303" i="12"/>
  <c r="L301" i="12" s="1"/>
  <c r="P302" i="12"/>
  <c r="O302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K288" i="12" s="1"/>
  <c r="I287" i="12"/>
  <c r="K287" i="12" s="1"/>
  <c r="N285" i="12"/>
  <c r="N283" i="12" s="1"/>
  <c r="M285" i="12"/>
  <c r="P285" i="12" s="1"/>
  <c r="L285" i="12"/>
  <c r="L283" i="12" s="1"/>
  <c r="O283" i="12" s="1"/>
  <c r="P284" i="12"/>
  <c r="O284" i="12"/>
  <c r="N282" i="12"/>
  <c r="M282" i="12"/>
  <c r="L282" i="12"/>
  <c r="L280" i="12" s="1"/>
  <c r="P281" i="12"/>
  <c r="O281" i="12"/>
  <c r="O278" i="12"/>
  <c r="N278" i="12"/>
  <c r="M278" i="12"/>
  <c r="P278" i="12" s="1"/>
  <c r="L278" i="12"/>
  <c r="J276" i="12"/>
  <c r="I271" i="12"/>
  <c r="K271" i="12" s="1"/>
  <c r="N269" i="12"/>
  <c r="N267" i="12" s="1"/>
  <c r="M269" i="12"/>
  <c r="L269" i="12"/>
  <c r="O269" i="12" s="1"/>
  <c r="P268" i="12"/>
  <c r="O268" i="12"/>
  <c r="N266" i="12"/>
  <c r="M266" i="12"/>
  <c r="M264" i="12" s="1"/>
  <c r="L266" i="12"/>
  <c r="P265" i="12"/>
  <c r="O265" i="12"/>
  <c r="O262" i="12"/>
  <c r="N262" i="12"/>
  <c r="M262" i="12"/>
  <c r="P262" i="12" s="1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J226" i="12" s="1"/>
  <c r="K247" i="12"/>
  <c r="K246" i="12"/>
  <c r="I244" i="12"/>
  <c r="K244" i="12" s="1"/>
  <c r="L242" i="12"/>
  <c r="L241" i="12"/>
  <c r="L240" i="12"/>
  <c r="L239" i="12"/>
  <c r="P238" i="12"/>
  <c r="N238" i="12"/>
  <c r="N227" i="12" s="1"/>
  <c r="J237" i="12"/>
  <c r="J236" i="12"/>
  <c r="I236" i="12"/>
  <c r="K236" i="12" s="1"/>
  <c r="K235" i="12"/>
  <c r="J235" i="12"/>
  <c r="I235" i="12"/>
  <c r="J233" i="12"/>
  <c r="N231" i="12"/>
  <c r="N230" i="12"/>
  <c r="N229" i="12"/>
  <c r="N228" i="12"/>
  <c r="I225" i="12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I190" i="12" s="1"/>
  <c r="K190" i="12" s="1"/>
  <c r="P191" i="12"/>
  <c r="L191" i="12"/>
  <c r="O191" i="12" s="1"/>
  <c r="J190" i="12"/>
  <c r="N189" i="12"/>
  <c r="M189" i="12"/>
  <c r="P189" i="12" s="1"/>
  <c r="L189" i="12"/>
  <c r="O189" i="12" s="1"/>
  <c r="P188" i="12"/>
  <c r="O188" i="12"/>
  <c r="N186" i="12"/>
  <c r="N184" i="12" s="1"/>
  <c r="M186" i="12"/>
  <c r="M184" i="12" s="1"/>
  <c r="L186" i="12"/>
  <c r="P185" i="12"/>
  <c r="O185" i="12"/>
  <c r="N182" i="12"/>
  <c r="M182" i="12"/>
  <c r="L182" i="12"/>
  <c r="J180" i="12"/>
  <c r="J177" i="12"/>
  <c r="I176" i="12"/>
  <c r="I174" i="12" s="1"/>
  <c r="I164" i="12" s="1"/>
  <c r="K164" i="12" s="1"/>
  <c r="J174" i="12"/>
  <c r="J164" i="12" s="1"/>
  <c r="N173" i="12"/>
  <c r="N171" i="12" s="1"/>
  <c r="M173" i="12"/>
  <c r="P173" i="12" s="1"/>
  <c r="L173" i="12"/>
  <c r="P172" i="12"/>
  <c r="O172" i="12"/>
  <c r="N170" i="12"/>
  <c r="M170" i="12"/>
  <c r="L170" i="12"/>
  <c r="L168" i="12" s="1"/>
  <c r="P169" i="12"/>
  <c r="O169" i="12"/>
  <c r="N166" i="12"/>
  <c r="M166" i="12"/>
  <c r="L166" i="12"/>
  <c r="O166" i="12" s="1"/>
  <c r="I159" i="12"/>
  <c r="K159" i="12" s="1"/>
  <c r="N157" i="12"/>
  <c r="N155" i="12" s="1"/>
  <c r="M157" i="12"/>
  <c r="M155" i="12" s="1"/>
  <c r="P155" i="12" s="1"/>
  <c r="L157" i="12"/>
  <c r="P156" i="12"/>
  <c r="O156" i="12"/>
  <c r="N154" i="12"/>
  <c r="N152" i="12" s="1"/>
  <c r="M154" i="12"/>
  <c r="L154" i="12"/>
  <c r="L152" i="12" s="1"/>
  <c r="P153" i="12"/>
  <c r="O153" i="12"/>
  <c r="P150" i="12"/>
  <c r="N150" i="12"/>
  <c r="M150" i="12"/>
  <c r="L150" i="12"/>
  <c r="J148" i="12"/>
  <c r="I146" i="12"/>
  <c r="I130" i="12" s="1"/>
  <c r="K130" i="12" s="1"/>
  <c r="I145" i="12"/>
  <c r="I143" i="12" s="1"/>
  <c r="I144" i="12"/>
  <c r="N140" i="12"/>
  <c r="N138" i="12" s="1"/>
  <c r="M140" i="12"/>
  <c r="L140" i="12"/>
  <c r="P139" i="12"/>
  <c r="O139" i="12"/>
  <c r="N137" i="12"/>
  <c r="N135" i="12" s="1"/>
  <c r="M137" i="12"/>
  <c r="P137" i="12" s="1"/>
  <c r="L137" i="12"/>
  <c r="O137" i="12" s="1"/>
  <c r="P136" i="12"/>
  <c r="O136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N122" i="12" s="1"/>
  <c r="M124" i="12"/>
  <c r="M122" i="12" s="1"/>
  <c r="P122" i="12" s="1"/>
  <c r="L124" i="12"/>
  <c r="O124" i="12" s="1"/>
  <c r="P123" i="12"/>
  <c r="O123" i="12"/>
  <c r="N120" i="12"/>
  <c r="M120" i="12"/>
  <c r="L120" i="12"/>
  <c r="O120" i="12" s="1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I87" i="12" s="1"/>
  <c r="K87" i="12" s="1"/>
  <c r="J98" i="12"/>
  <c r="I98" i="12"/>
  <c r="N96" i="12"/>
  <c r="N94" i="12" s="1"/>
  <c r="M96" i="12"/>
  <c r="P96" i="12" s="1"/>
  <c r="L96" i="12"/>
  <c r="O96" i="12" s="1"/>
  <c r="P95" i="12"/>
  <c r="O95" i="12"/>
  <c r="N93" i="12"/>
  <c r="M93" i="12"/>
  <c r="M91" i="12" s="1"/>
  <c r="L93" i="12"/>
  <c r="P92" i="12"/>
  <c r="O92" i="12"/>
  <c r="P89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I80" i="12"/>
  <c r="K80" i="12" s="1"/>
  <c r="I79" i="12"/>
  <c r="K79" i="12" s="1"/>
  <c r="I78" i="12"/>
  <c r="K78" i="12" s="1"/>
  <c r="J77" i="12"/>
  <c r="J76" i="12"/>
  <c r="J64" i="12" s="1"/>
  <c r="N74" i="12"/>
  <c r="N72" i="12" s="1"/>
  <c r="M74" i="12"/>
  <c r="P74" i="12" s="1"/>
  <c r="L74" i="12"/>
  <c r="O74" i="12" s="1"/>
  <c r="P73" i="12"/>
  <c r="O73" i="12"/>
  <c r="N71" i="12"/>
  <c r="N69" i="12" s="1"/>
  <c r="M71" i="12"/>
  <c r="L71" i="12"/>
  <c r="L69" i="12" s="1"/>
  <c r="P70" i="12"/>
  <c r="O70" i="12"/>
  <c r="P67" i="12"/>
  <c r="O67" i="12"/>
  <c r="N67" i="12"/>
  <c r="M67" i="12"/>
  <c r="L67" i="12"/>
  <c r="J65" i="12"/>
  <c r="N61" i="12"/>
  <c r="M61" i="12"/>
  <c r="M59" i="12" s="1"/>
  <c r="L61" i="12"/>
  <c r="P60" i="12"/>
  <c r="O60" i="12"/>
  <c r="N58" i="12"/>
  <c r="M58" i="12"/>
  <c r="M56" i="12" s="1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O49" i="12" s="1"/>
  <c r="P48" i="12"/>
  <c r="O48" i="12"/>
  <c r="N46" i="12"/>
  <c r="N44" i="12" s="1"/>
  <c r="M46" i="12"/>
  <c r="L46" i="12"/>
  <c r="L44" i="12" s="1"/>
  <c r="P45" i="12"/>
  <c r="O45" i="12"/>
  <c r="O42" i="12"/>
  <c r="N42" i="12"/>
  <c r="M42" i="12"/>
  <c r="P42" i="12" s="1"/>
  <c r="L42" i="12"/>
  <c r="P36" i="12"/>
  <c r="N36" i="12"/>
  <c r="N34" i="12" s="1"/>
  <c r="M36" i="12"/>
  <c r="P35" i="12"/>
  <c r="O35" i="12"/>
  <c r="N35" i="12"/>
  <c r="M35" i="12"/>
  <c r="M34" i="12" s="1"/>
  <c r="P34" i="12" s="1"/>
  <c r="L35" i="12"/>
  <c r="N33" i="12"/>
  <c r="N30" i="12" s="1"/>
  <c r="N32" i="12"/>
  <c r="N12" i="12" s="1"/>
  <c r="M32" i="12"/>
  <c r="L32" i="12"/>
  <c r="O32" i="12" s="1"/>
  <c r="N25" i="12"/>
  <c r="M25" i="12"/>
  <c r="L25" i="12"/>
  <c r="O25" i="12" s="1"/>
  <c r="P22" i="12"/>
  <c r="O22" i="12"/>
  <c r="N22" i="12"/>
  <c r="M22" i="12"/>
  <c r="L22" i="12"/>
  <c r="M19" i="12"/>
  <c r="P19" i="12" s="1"/>
  <c r="L19" i="12"/>
  <c r="O19" i="12" s="1"/>
  <c r="M12" i="12"/>
  <c r="L12" i="12"/>
  <c r="O12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K802" i="11"/>
  <c r="J801" i="11"/>
  <c r="J800" i="1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O791" i="11" s="1"/>
  <c r="P790" i="11"/>
  <c r="O790" i="11"/>
  <c r="P789" i="11"/>
  <c r="N789" i="11"/>
  <c r="M789" i="11"/>
  <c r="L789" i="11"/>
  <c r="O789" i="11" s="1"/>
  <c r="M788" i="11"/>
  <c r="P787" i="11"/>
  <c r="N787" i="11"/>
  <c r="M787" i="11"/>
  <c r="L787" i="11"/>
  <c r="J785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N770" i="11" s="1"/>
  <c r="M772" i="11"/>
  <c r="L772" i="11"/>
  <c r="O772" i="11" s="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N737" i="11" s="1"/>
  <c r="M739" i="11"/>
  <c r="L739" i="11"/>
  <c r="O739" i="11" s="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N685" i="11" s="1"/>
  <c r="L690" i="11"/>
  <c r="P688" i="11"/>
  <c r="N688" i="11"/>
  <c r="M688" i="1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N658" i="11"/>
  <c r="M658" i="11"/>
  <c r="P658" i="11" s="1"/>
  <c r="P657" i="11"/>
  <c r="N657" i="11"/>
  <c r="M657" i="11"/>
  <c r="O656" i="11"/>
  <c r="N656" i="11"/>
  <c r="M656" i="11"/>
  <c r="M655" i="11" s="1"/>
  <c r="P655" i="11" s="1"/>
  <c r="L656" i="11"/>
  <c r="N655" i="11"/>
  <c r="K652" i="11"/>
  <c r="J652" i="11"/>
  <c r="J651" i="1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P639" i="11"/>
  <c r="N639" i="11"/>
  <c r="M639" i="11"/>
  <c r="N638" i="11"/>
  <c r="N634" i="11"/>
  <c r="N632" i="11" s="1"/>
  <c r="L634" i="11"/>
  <c r="M634" i="11" s="1"/>
  <c r="P633" i="11"/>
  <c r="O633" i="11"/>
  <c r="N631" i="11"/>
  <c r="N629" i="11" s="1"/>
  <c r="O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J593" i="11"/>
  <c r="J592" i="11" s="1"/>
  <c r="I593" i="11"/>
  <c r="I592" i="11" s="1"/>
  <c r="J583" i="11"/>
  <c r="J582" i="11"/>
  <c r="J576" i="11" s="1"/>
  <c r="J559" i="11" s="1"/>
  <c r="J543" i="11" s="1"/>
  <c r="J577" i="11"/>
  <c r="I577" i="11"/>
  <c r="K577" i="11" s="1"/>
  <c r="I576" i="1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P556" i="11"/>
  <c r="O556" i="11"/>
  <c r="N555" i="11"/>
  <c r="M555" i="11"/>
  <c r="N553" i="11"/>
  <c r="N549" i="11" s="1"/>
  <c r="L549" i="11"/>
  <c r="M549" i="11" s="1"/>
  <c r="M546" i="11" s="1"/>
  <c r="P548" i="11"/>
  <c r="O548" i="11"/>
  <c r="N545" i="1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K537" i="11" s="1"/>
  <c r="P535" i="11"/>
  <c r="L535" i="11"/>
  <c r="P534" i="11"/>
  <c r="O534" i="11"/>
  <c r="N533" i="11"/>
  <c r="M533" i="11"/>
  <c r="P533" i="11" s="1"/>
  <c r="P528" i="11"/>
  <c r="N528" i="11"/>
  <c r="L528" i="11"/>
  <c r="O528" i="11" s="1"/>
  <c r="P527" i="11"/>
  <c r="O527" i="11"/>
  <c r="P526" i="11"/>
  <c r="N526" i="11"/>
  <c r="M526" i="11"/>
  <c r="L526" i="11"/>
  <c r="O526" i="11" s="1"/>
  <c r="N525" i="11"/>
  <c r="M525" i="11"/>
  <c r="P525" i="11" s="1"/>
  <c r="P524" i="11"/>
  <c r="N524" i="11"/>
  <c r="N523" i="11" s="1"/>
  <c r="M524" i="11"/>
  <c r="L524" i="11"/>
  <c r="O524" i="11" s="1"/>
  <c r="M523" i="11"/>
  <c r="P523" i="11" s="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N504" i="11" s="1"/>
  <c r="P506" i="11"/>
  <c r="O506" i="11"/>
  <c r="P505" i="11"/>
  <c r="N505" i="11"/>
  <c r="M505" i="11"/>
  <c r="L505" i="11"/>
  <c r="O505" i="11" s="1"/>
  <c r="O504" i="11"/>
  <c r="M504" i="11"/>
  <c r="P504" i="11" s="1"/>
  <c r="L504" i="11"/>
  <c r="P503" i="11"/>
  <c r="N503" i="11"/>
  <c r="N502" i="11" s="1"/>
  <c r="M503" i="11"/>
  <c r="L503" i="11"/>
  <c r="L502" i="11" s="1"/>
  <c r="O502" i="11" s="1"/>
  <c r="M502" i="11"/>
  <c r="P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6" i="11"/>
  <c r="N472" i="11" s="1"/>
  <c r="N473" i="11"/>
  <c r="L472" i="11"/>
  <c r="P471" i="11"/>
  <c r="O471" i="11"/>
  <c r="O468" i="11"/>
  <c r="N468" i="11"/>
  <c r="M468" i="11"/>
  <c r="P468" i="11" s="1"/>
  <c r="L468" i="11"/>
  <c r="J466" i="11"/>
  <c r="I466" i="11"/>
  <c r="J465" i="11"/>
  <c r="I465" i="11"/>
  <c r="K465" i="11" s="1"/>
  <c r="I464" i="11"/>
  <c r="K464" i="11" s="1"/>
  <c r="I463" i="11"/>
  <c r="K463" i="11" s="1"/>
  <c r="I462" i="11"/>
  <c r="I460" i="11"/>
  <c r="K458" i="11"/>
  <c r="P456" i="11"/>
  <c r="L456" i="11"/>
  <c r="O456" i="11" s="1"/>
  <c r="P455" i="11"/>
  <c r="O455" i="11"/>
  <c r="N454" i="11"/>
  <c r="M454" i="11"/>
  <c r="P454" i="11" s="1"/>
  <c r="N453" i="11"/>
  <c r="N449" i="11" s="1"/>
  <c r="L449" i="11"/>
  <c r="P448" i="11"/>
  <c r="O448" i="11"/>
  <c r="P445" i="11"/>
  <c r="N445" i="11"/>
  <c r="M445" i="11"/>
  <c r="L445" i="11"/>
  <c r="O445" i="11" s="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I433" i="11" s="1"/>
  <c r="J434" i="11"/>
  <c r="P431" i="11"/>
  <c r="L431" i="11"/>
  <c r="P430" i="11"/>
  <c r="O430" i="11"/>
  <c r="N429" i="11"/>
  <c r="M429" i="11"/>
  <c r="P429" i="11" s="1"/>
  <c r="N428" i="11"/>
  <c r="N424" i="11" s="1"/>
  <c r="L424" i="11"/>
  <c r="P423" i="11"/>
  <c r="O423" i="11"/>
  <c r="P420" i="11"/>
  <c r="N420" i="11"/>
  <c r="M420" i="11"/>
  <c r="L420" i="11"/>
  <c r="J418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M407" i="11"/>
  <c r="P407" i="11" s="1"/>
  <c r="L407" i="11"/>
  <c r="O407" i="11" s="1"/>
  <c r="P406" i="11"/>
  <c r="O406" i="11"/>
  <c r="P403" i="11"/>
  <c r="N403" i="11"/>
  <c r="M403" i="11"/>
  <c r="L403" i="11"/>
  <c r="O403" i="11" s="1"/>
  <c r="J401" i="11"/>
  <c r="I401" i="11"/>
  <c r="K401" i="11" s="1"/>
  <c r="K400" i="11"/>
  <c r="K399" i="11"/>
  <c r="N397" i="11"/>
  <c r="N395" i="11" s="1"/>
  <c r="M397" i="11"/>
  <c r="L397" i="11"/>
  <c r="O397" i="11" s="1"/>
  <c r="P396" i="11"/>
  <c r="O396" i="11"/>
  <c r="N394" i="11"/>
  <c r="M394" i="11"/>
  <c r="L394" i="11"/>
  <c r="P393" i="11"/>
  <c r="O393" i="11"/>
  <c r="P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N348" i="11" s="1"/>
  <c r="M350" i="11"/>
  <c r="L350" i="11"/>
  <c r="L348" i="11" s="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M334" i="11" s="1"/>
  <c r="P334" i="11" s="1"/>
  <c r="L336" i="11"/>
  <c r="O336" i="11" s="1"/>
  <c r="P335" i="11"/>
  <c r="O335" i="11"/>
  <c r="N333" i="11"/>
  <c r="N331" i="11" s="1"/>
  <c r="M333" i="11"/>
  <c r="M331" i="11" s="1"/>
  <c r="L333" i="11"/>
  <c r="P332" i="11"/>
  <c r="O332" i="11"/>
  <c r="P329" i="11"/>
  <c r="O329" i="11"/>
  <c r="N329" i="11"/>
  <c r="M329" i="11"/>
  <c r="L329" i="11"/>
  <c r="I327" i="11"/>
  <c r="I325" i="11"/>
  <c r="K325" i="11" s="1"/>
  <c r="N323" i="11"/>
  <c r="N321" i="11" s="1"/>
  <c r="M323" i="11"/>
  <c r="P323" i="11" s="1"/>
  <c r="L323" i="11"/>
  <c r="P322" i="11"/>
  <c r="O322" i="11"/>
  <c r="N320" i="11"/>
  <c r="N318" i="11" s="1"/>
  <c r="M320" i="11"/>
  <c r="P320" i="11" s="1"/>
  <c r="L320" i="11"/>
  <c r="P319" i="11"/>
  <c r="O319" i="11"/>
  <c r="N316" i="11"/>
  <c r="M316" i="11"/>
  <c r="P316" i="11" s="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M304" i="11" s="1"/>
  <c r="P304" i="11" s="1"/>
  <c r="L306" i="11"/>
  <c r="O306" i="11" s="1"/>
  <c r="P305" i="11"/>
  <c r="O305" i="11"/>
  <c r="N303" i="11"/>
  <c r="N301" i="11" s="1"/>
  <c r="M303" i="11"/>
  <c r="M301" i="11" s="1"/>
  <c r="L303" i="11"/>
  <c r="L301" i="11" s="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K287" i="11" s="1"/>
  <c r="N285" i="11"/>
  <c r="N283" i="11" s="1"/>
  <c r="M285" i="11"/>
  <c r="L285" i="11"/>
  <c r="O285" i="11" s="1"/>
  <c r="P284" i="11"/>
  <c r="O284" i="11"/>
  <c r="N282" i="11"/>
  <c r="N280" i="11" s="1"/>
  <c r="M282" i="11"/>
  <c r="M280" i="11" s="1"/>
  <c r="L282" i="11"/>
  <c r="P281" i="11"/>
  <c r="O281" i="11"/>
  <c r="O278" i="11"/>
  <c r="N278" i="11"/>
  <c r="M278" i="11"/>
  <c r="L278" i="11"/>
  <c r="J276" i="11"/>
  <c r="I271" i="11"/>
  <c r="N269" i="11"/>
  <c r="M269" i="11"/>
  <c r="M267" i="11" s="1"/>
  <c r="P267" i="11" s="1"/>
  <c r="L269" i="11"/>
  <c r="O269" i="11" s="1"/>
  <c r="P268" i="11"/>
  <c r="O268" i="11"/>
  <c r="N266" i="11"/>
  <c r="N264" i="11" s="1"/>
  <c r="M266" i="11"/>
  <c r="M264" i="11" s="1"/>
  <c r="L266" i="11"/>
  <c r="L264" i="11" s="1"/>
  <c r="P265" i="11"/>
  <c r="O265" i="11"/>
  <c r="P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N227" i="11" s="1"/>
  <c r="J237" i="11"/>
  <c r="J226" i="11" s="1"/>
  <c r="J180" i="11" s="1"/>
  <c r="J236" i="11"/>
  <c r="I236" i="11"/>
  <c r="K236" i="11" s="1"/>
  <c r="K235" i="11"/>
  <c r="J235" i="11"/>
  <c r="I235" i="11"/>
  <c r="J233" i="11"/>
  <c r="N231" i="11"/>
  <c r="N230" i="11"/>
  <c r="N229" i="11"/>
  <c r="N228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O189" i="11" s="1"/>
  <c r="P188" i="11"/>
  <c r="O188" i="11"/>
  <c r="N186" i="11"/>
  <c r="M186" i="11"/>
  <c r="L186" i="11"/>
  <c r="L184" i="11" s="1"/>
  <c r="P185" i="11"/>
  <c r="O185" i="11"/>
  <c r="P182" i="11"/>
  <c r="N182" i="11"/>
  <c r="M182" i="11"/>
  <c r="L182" i="11"/>
  <c r="J177" i="11"/>
  <c r="J164" i="11" s="1"/>
  <c r="I176" i="11"/>
  <c r="I174" i="11" s="1"/>
  <c r="J174" i="11"/>
  <c r="N173" i="11"/>
  <c r="N171" i="11" s="1"/>
  <c r="M173" i="11"/>
  <c r="L173" i="11"/>
  <c r="O173" i="11" s="1"/>
  <c r="P172" i="11"/>
  <c r="O172" i="11"/>
  <c r="N170" i="11"/>
  <c r="M170" i="11"/>
  <c r="L170" i="11"/>
  <c r="L168" i="11" s="1"/>
  <c r="P169" i="11"/>
  <c r="O169" i="11"/>
  <c r="P166" i="11"/>
  <c r="N166" i="11"/>
  <c r="M166" i="11"/>
  <c r="L166" i="11"/>
  <c r="I159" i="11"/>
  <c r="K159" i="11" s="1"/>
  <c r="N157" i="11"/>
  <c r="N155" i="11" s="1"/>
  <c r="M157" i="11"/>
  <c r="M155" i="11" s="1"/>
  <c r="P155" i="11" s="1"/>
  <c r="L157" i="11"/>
  <c r="L155" i="11" s="1"/>
  <c r="O155" i="11" s="1"/>
  <c r="P156" i="11"/>
  <c r="O156" i="11"/>
  <c r="N154" i="11"/>
  <c r="N152" i="11" s="1"/>
  <c r="M154" i="11"/>
  <c r="M152" i="11" s="1"/>
  <c r="L154" i="11"/>
  <c r="O154" i="11" s="1"/>
  <c r="P153" i="11"/>
  <c r="O153" i="11"/>
  <c r="P150" i="11"/>
  <c r="N150" i="11"/>
  <c r="M150" i="11"/>
  <c r="L150" i="11"/>
  <c r="J148" i="11"/>
  <c r="I146" i="11"/>
  <c r="I145" i="11"/>
  <c r="K145" i="11" s="1"/>
  <c r="I144" i="11"/>
  <c r="K144" i="11" s="1"/>
  <c r="N140" i="11"/>
  <c r="N138" i="11" s="1"/>
  <c r="M140" i="11"/>
  <c r="L140" i="11"/>
  <c r="P139" i="11"/>
  <c r="O139" i="11"/>
  <c r="N137" i="11"/>
  <c r="N135" i="11" s="1"/>
  <c r="M137" i="11"/>
  <c r="L137" i="11"/>
  <c r="P136" i="11"/>
  <c r="O136" i="11"/>
  <c r="O133" i="11"/>
  <c r="N133" i="11"/>
  <c r="M133" i="11"/>
  <c r="P133" i="11" s="1"/>
  <c r="L133" i="11"/>
  <c r="J130" i="11"/>
  <c r="N127" i="11"/>
  <c r="N125" i="11" s="1"/>
  <c r="M127" i="11"/>
  <c r="M125" i="11" s="1"/>
  <c r="L127" i="11"/>
  <c r="L125" i="11" s="1"/>
  <c r="P126" i="11"/>
  <c r="O126" i="11"/>
  <c r="N124" i="11"/>
  <c r="N122" i="11" s="1"/>
  <c r="M124" i="11"/>
  <c r="L124" i="11"/>
  <c r="L122" i="11" s="1"/>
  <c r="O122" i="11" s="1"/>
  <c r="P123" i="11"/>
  <c r="O123" i="11"/>
  <c r="P120" i="11"/>
  <c r="N120" i="11"/>
  <c r="M120" i="11"/>
  <c r="L120" i="11"/>
  <c r="K118" i="11"/>
  <c r="J118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I86" i="11" s="1"/>
  <c r="N96" i="11"/>
  <c r="N94" i="11" s="1"/>
  <c r="M96" i="11"/>
  <c r="L96" i="11"/>
  <c r="O96" i="11" s="1"/>
  <c r="P95" i="11"/>
  <c r="O95" i="11"/>
  <c r="N93" i="11"/>
  <c r="N91" i="11" s="1"/>
  <c r="M93" i="11"/>
  <c r="L93" i="11"/>
  <c r="P92" i="11"/>
  <c r="O92" i="11"/>
  <c r="P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76" i="11"/>
  <c r="J64" i="11" s="1"/>
  <c r="N74" i="11"/>
  <c r="N72" i="11" s="1"/>
  <c r="M74" i="11"/>
  <c r="P74" i="11" s="1"/>
  <c r="L74" i="11"/>
  <c r="P73" i="11"/>
  <c r="O73" i="11"/>
  <c r="N71" i="11"/>
  <c r="M71" i="11"/>
  <c r="L71" i="11"/>
  <c r="P70" i="11"/>
  <c r="O70" i="11"/>
  <c r="O67" i="11"/>
  <c r="N67" i="11"/>
  <c r="M67" i="11"/>
  <c r="L67" i="11"/>
  <c r="J65" i="11"/>
  <c r="N61" i="11"/>
  <c r="N59" i="11" s="1"/>
  <c r="M61" i="11"/>
  <c r="L61" i="11"/>
  <c r="P60" i="11"/>
  <c r="O60" i="11"/>
  <c r="N58" i="11"/>
  <c r="N56" i="11" s="1"/>
  <c r="M58" i="11"/>
  <c r="L58" i="11"/>
  <c r="L56" i="11" s="1"/>
  <c r="P57" i="11"/>
  <c r="O57" i="11"/>
  <c r="P54" i="11"/>
  <c r="N54" i="11"/>
  <c r="M54" i="11"/>
  <c r="L54" i="11"/>
  <c r="O54" i="11" s="1"/>
  <c r="N49" i="11"/>
  <c r="M49" i="11"/>
  <c r="P49" i="11" s="1"/>
  <c r="L49" i="11"/>
  <c r="O49" i="11" s="1"/>
  <c r="P48" i="11"/>
  <c r="O48" i="11"/>
  <c r="N46" i="11"/>
  <c r="M46" i="11"/>
  <c r="M44" i="11" s="1"/>
  <c r="L46" i="11"/>
  <c r="P45" i="11"/>
  <c r="O45" i="11"/>
  <c r="P42" i="11"/>
  <c r="O42" i="11"/>
  <c r="N42" i="11"/>
  <c r="M42" i="11"/>
  <c r="L42" i="11"/>
  <c r="P36" i="11"/>
  <c r="N36" i="11"/>
  <c r="N34" i="11" s="1"/>
  <c r="M36" i="11"/>
  <c r="O35" i="11"/>
  <c r="N35" i="11"/>
  <c r="M35" i="11"/>
  <c r="L35" i="11"/>
  <c r="P32" i="11"/>
  <c r="O32" i="11"/>
  <c r="N32" i="11"/>
  <c r="N29" i="11" s="1"/>
  <c r="M32" i="11"/>
  <c r="L32" i="11"/>
  <c r="M29" i="11"/>
  <c r="P29" i="11" s="1"/>
  <c r="P25" i="11"/>
  <c r="N25" i="11"/>
  <c r="N19" i="11" s="1"/>
  <c r="M25" i="11"/>
  <c r="L25" i="11"/>
  <c r="L15" i="11" s="1"/>
  <c r="O22" i="11"/>
  <c r="N22" i="11"/>
  <c r="M22" i="11"/>
  <c r="L22" i="11"/>
  <c r="L19" i="11"/>
  <c r="M15" i="11"/>
  <c r="P15" i="11" s="1"/>
  <c r="N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O815" i="10"/>
  <c r="N815" i="10"/>
  <c r="M815" i="10"/>
  <c r="P815" i="10" s="1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P807" i="10" s="1"/>
  <c r="L807" i="10"/>
  <c r="O807" i="10" s="1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L791" i="10"/>
  <c r="P790" i="10"/>
  <c r="O790" i="10"/>
  <c r="M789" i="10"/>
  <c r="P789" i="10" s="1"/>
  <c r="P788" i="10"/>
  <c r="M788" i="10"/>
  <c r="P787" i="10"/>
  <c r="O787" i="10"/>
  <c r="N787" i="10"/>
  <c r="M787" i="10"/>
  <c r="M786" i="10" s="1"/>
  <c r="P786" i="10" s="1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O773" i="10"/>
  <c r="N773" i="10"/>
  <c r="M773" i="10"/>
  <c r="P773" i="10" s="1"/>
  <c r="L773" i="10"/>
  <c r="N772" i="10"/>
  <c r="M772" i="10"/>
  <c r="P772" i="10" s="1"/>
  <c r="L772" i="10"/>
  <c r="O772" i="10" s="1"/>
  <c r="P771" i="10"/>
  <c r="N771" i="10"/>
  <c r="N770" i="10" s="1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N757" i="10"/>
  <c r="M757" i="10"/>
  <c r="P757" i="10" s="1"/>
  <c r="L757" i="10"/>
  <c r="N756" i="10"/>
  <c r="M756" i="10"/>
  <c r="P756" i="10" s="1"/>
  <c r="L756" i="10"/>
  <c r="O756" i="10" s="1"/>
  <c r="P755" i="10"/>
  <c r="N755" i="10"/>
  <c r="N754" i="10" s="1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N740" i="10"/>
  <c r="M740" i="10"/>
  <c r="P740" i="10" s="1"/>
  <c r="L740" i="10"/>
  <c r="N739" i="10"/>
  <c r="M739" i="10"/>
  <c r="P739" i="10" s="1"/>
  <c r="L739" i="10"/>
  <c r="O739" i="10" s="1"/>
  <c r="P738" i="10"/>
  <c r="N738" i="10"/>
  <c r="N737" i="10" s="1"/>
  <c r="M738" i="10"/>
  <c r="L738" i="10"/>
  <c r="O738" i="10" s="1"/>
  <c r="O737" i="10"/>
  <c r="L737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N685" i="10" s="1"/>
  <c r="L690" i="10"/>
  <c r="N688" i="10"/>
  <c r="M688" i="10"/>
  <c r="P688" i="10" s="1"/>
  <c r="M687" i="10"/>
  <c r="P687" i="10" s="1"/>
  <c r="P686" i="10"/>
  <c r="N686" i="10"/>
  <c r="M686" i="10"/>
  <c r="L686" i="10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P667" i="10"/>
  <c r="O667" i="10"/>
  <c r="P666" i="10"/>
  <c r="O666" i="10"/>
  <c r="P665" i="10"/>
  <c r="N665" i="10"/>
  <c r="M665" i="10"/>
  <c r="L665" i="10"/>
  <c r="O665" i="10" s="1"/>
  <c r="P660" i="10"/>
  <c r="N660" i="10"/>
  <c r="N657" i="10" s="1"/>
  <c r="L660" i="10"/>
  <c r="P659" i="10"/>
  <c r="O659" i="10"/>
  <c r="P658" i="10"/>
  <c r="N658" i="10"/>
  <c r="M658" i="10"/>
  <c r="P657" i="10"/>
  <c r="M657" i="10"/>
  <c r="O656" i="10"/>
  <c r="N656" i="10"/>
  <c r="M656" i="10"/>
  <c r="P656" i="10" s="1"/>
  <c r="L656" i="10"/>
  <c r="M655" i="10"/>
  <c r="P655" i="10" s="1"/>
  <c r="K652" i="10"/>
  <c r="J652" i="10"/>
  <c r="J651" i="10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L634" i="10"/>
  <c r="M634" i="10" s="1"/>
  <c r="P633" i="10"/>
  <c r="O633" i="10"/>
  <c r="N632" i="10"/>
  <c r="N631" i="10"/>
  <c r="P630" i="10"/>
  <c r="O630" i="10"/>
  <c r="N630" i="10"/>
  <c r="M630" i="10"/>
  <c r="L630" i="10"/>
  <c r="N629" i="10"/>
  <c r="J621" i="10"/>
  <c r="I621" i="10"/>
  <c r="K621" i="10" s="1"/>
  <c r="J620" i="10"/>
  <c r="I620" i="10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I592" i="10" s="1"/>
  <c r="J583" i="10"/>
  <c r="J582" i="10"/>
  <c r="J576" i="10" s="1"/>
  <c r="J577" i="10"/>
  <c r="I577" i="10"/>
  <c r="K577" i="10" s="1"/>
  <c r="I576" i="10"/>
  <c r="I559" i="10" s="1"/>
  <c r="K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P555" i="10"/>
  <c r="N555" i="10"/>
  <c r="M555" i="10"/>
  <c r="L555" i="10"/>
  <c r="O555" i="10" s="1"/>
  <c r="N549" i="10"/>
  <c r="L549" i="10"/>
  <c r="M549" i="10" s="1"/>
  <c r="P548" i="10"/>
  <c r="O548" i="10"/>
  <c r="N546" i="10"/>
  <c r="O545" i="10"/>
  <c r="N545" i="10"/>
  <c r="N544" i="10" s="1"/>
  <c r="M545" i="10"/>
  <c r="P545" i="10" s="1"/>
  <c r="L545" i="10"/>
  <c r="I542" i="10"/>
  <c r="K542" i="10" s="1"/>
  <c r="I541" i="10"/>
  <c r="K541" i="10" s="1"/>
  <c r="I540" i="10"/>
  <c r="K540" i="10" s="1"/>
  <c r="I539" i="10"/>
  <c r="I538" i="10"/>
  <c r="K538" i="10" s="1"/>
  <c r="I537" i="10"/>
  <c r="P535" i="10"/>
  <c r="L535" i="10"/>
  <c r="O535" i="10" s="1"/>
  <c r="P534" i="10"/>
  <c r="O534" i="10"/>
  <c r="P533" i="10"/>
  <c r="N533" i="10"/>
  <c r="M533" i="10"/>
  <c r="P528" i="10"/>
  <c r="N528" i="10"/>
  <c r="N525" i="10" s="1"/>
  <c r="L528" i="10"/>
  <c r="P527" i="10"/>
  <c r="O527" i="10"/>
  <c r="N526" i="10"/>
  <c r="M526" i="10"/>
  <c r="P526" i="10" s="1"/>
  <c r="M525" i="10"/>
  <c r="P525" i="10" s="1"/>
  <c r="N524" i="10"/>
  <c r="M524" i="10"/>
  <c r="P524" i="10" s="1"/>
  <c r="L524" i="10"/>
  <c r="O524" i="10" s="1"/>
  <c r="M523" i="10"/>
  <c r="P523" i="10" s="1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M505" i="10"/>
  <c r="P505" i="10" s="1"/>
  <c r="L505" i="10"/>
  <c r="O505" i="10" s="1"/>
  <c r="P504" i="10"/>
  <c r="M504" i="10"/>
  <c r="L504" i="10"/>
  <c r="O504" i="10" s="1"/>
  <c r="P503" i="10"/>
  <c r="N503" i="10"/>
  <c r="M503" i="10"/>
  <c r="M502" i="10" s="1"/>
  <c r="P502" i="10" s="1"/>
  <c r="L503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L472" i="10"/>
  <c r="M472" i="10" s="1"/>
  <c r="P471" i="10"/>
  <c r="O471" i="10"/>
  <c r="N470" i="10"/>
  <c r="N469" i="10"/>
  <c r="N468" i="10"/>
  <c r="N467" i="10" s="1"/>
  <c r="M468" i="10"/>
  <c r="L468" i="10"/>
  <c r="J466" i="10"/>
  <c r="I466" i="10"/>
  <c r="J465" i="10"/>
  <c r="I465" i="10"/>
  <c r="K465" i="10" s="1"/>
  <c r="I464" i="10"/>
  <c r="K464" i="10" s="1"/>
  <c r="I463" i="10"/>
  <c r="K463" i="10" s="1"/>
  <c r="I462" i="10"/>
  <c r="K462" i="10" s="1"/>
  <c r="I460" i="10"/>
  <c r="I442" i="10" s="1"/>
  <c r="K442" i="10" s="1"/>
  <c r="K458" i="10"/>
  <c r="P456" i="10"/>
  <c r="L456" i="10"/>
  <c r="O456" i="10" s="1"/>
  <c r="P455" i="10"/>
  <c r="O455" i="10"/>
  <c r="N454" i="10"/>
  <c r="M454" i="10"/>
  <c r="P454" i="10" s="1"/>
  <c r="N449" i="10"/>
  <c r="L449" i="10"/>
  <c r="L447" i="10" s="1"/>
  <c r="O447" i="10" s="1"/>
  <c r="P448" i="10"/>
  <c r="O448" i="10"/>
  <c r="N447" i="10"/>
  <c r="N446" i="10"/>
  <c r="P445" i="10"/>
  <c r="O445" i="10"/>
  <c r="N445" i="10"/>
  <c r="N444" i="10" s="1"/>
  <c r="M445" i="10"/>
  <c r="L445" i="10"/>
  <c r="J443" i="10"/>
  <c r="J442" i="10"/>
  <c r="I441" i="10"/>
  <c r="K441" i="10" s="1"/>
  <c r="I440" i="10"/>
  <c r="I439" i="10"/>
  <c r="K439" i="10" s="1"/>
  <c r="I438" i="10"/>
  <c r="K438" i="10" s="1"/>
  <c r="I437" i="10"/>
  <c r="K437" i="10" s="1"/>
  <c r="I435" i="10"/>
  <c r="I433" i="10" s="1"/>
  <c r="I417" i="10" s="1"/>
  <c r="J434" i="10"/>
  <c r="P431" i="10"/>
  <c r="L431" i="10"/>
  <c r="O431" i="10" s="1"/>
  <c r="P430" i="10"/>
  <c r="O430" i="10"/>
  <c r="N429" i="10"/>
  <c r="M429" i="10"/>
  <c r="P429" i="10" s="1"/>
  <c r="N424" i="10"/>
  <c r="L424" i="10"/>
  <c r="P423" i="10"/>
  <c r="O423" i="10"/>
  <c r="N422" i="10"/>
  <c r="N421" i="10"/>
  <c r="P420" i="10"/>
  <c r="O420" i="10"/>
  <c r="N420" i="10"/>
  <c r="M420" i="10"/>
  <c r="L420" i="10"/>
  <c r="N419" i="10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M407" i="10"/>
  <c r="L407" i="10"/>
  <c r="O407" i="10" s="1"/>
  <c r="P406" i="10"/>
  <c r="O406" i="10"/>
  <c r="O403" i="10"/>
  <c r="N403" i="10"/>
  <c r="M403" i="10"/>
  <c r="P403" i="10" s="1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N392" i="10" s="1"/>
  <c r="M394" i="10"/>
  <c r="L394" i="10"/>
  <c r="P393" i="10"/>
  <c r="O393" i="10"/>
  <c r="P390" i="10"/>
  <c r="O390" i="10"/>
  <c r="N390" i="10"/>
  <c r="M390" i="10"/>
  <c r="L390" i="10"/>
  <c r="K388" i="10"/>
  <c r="J388" i="10"/>
  <c r="I388" i="10"/>
  <c r="J385" i="10"/>
  <c r="I385" i="10"/>
  <c r="K382" i="10"/>
  <c r="J382" i="10"/>
  <c r="J381" i="10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L351" i="10" s="1"/>
  <c r="P352" i="10"/>
  <c r="O352" i="10"/>
  <c r="N350" i="10"/>
  <c r="M350" i="10"/>
  <c r="M348" i="10" s="1"/>
  <c r="L350" i="10"/>
  <c r="L348" i="10" s="1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N331" i="10" s="1"/>
  <c r="M333" i="10"/>
  <c r="M331" i="10" s="1"/>
  <c r="L333" i="10"/>
  <c r="P332" i="10"/>
  <c r="O332" i="10"/>
  <c r="P329" i="10"/>
  <c r="O329" i="10"/>
  <c r="N329" i="10"/>
  <c r="M329" i="10"/>
  <c r="L329" i="10"/>
  <c r="I327" i="10"/>
  <c r="I325" i="10"/>
  <c r="K325" i="10" s="1"/>
  <c r="N323" i="10"/>
  <c r="M323" i="10"/>
  <c r="P323" i="10" s="1"/>
  <c r="L323" i="10"/>
  <c r="O323" i="10" s="1"/>
  <c r="P322" i="10"/>
  <c r="O322" i="10"/>
  <c r="N320" i="10"/>
  <c r="N318" i="10" s="1"/>
  <c r="M320" i="10"/>
  <c r="P320" i="10" s="1"/>
  <c r="L320" i="10"/>
  <c r="P319" i="10"/>
  <c r="O319" i="10"/>
  <c r="P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I297" i="10" s="1"/>
  <c r="K297" i="10" s="1"/>
  <c r="N306" i="10"/>
  <c r="N304" i="10" s="1"/>
  <c r="M306" i="10"/>
  <c r="P306" i="10" s="1"/>
  <c r="L306" i="10"/>
  <c r="P305" i="10"/>
  <c r="O305" i="10"/>
  <c r="N303" i="10"/>
  <c r="N301" i="10" s="1"/>
  <c r="M303" i="10"/>
  <c r="M301" i="10" s="1"/>
  <c r="L303" i="10"/>
  <c r="L301" i="10" s="1"/>
  <c r="P302" i="10"/>
  <c r="O302" i="10"/>
  <c r="N299" i="10"/>
  <c r="M299" i="10"/>
  <c r="P299" i="10" s="1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L285" i="10"/>
  <c r="O285" i="10" s="1"/>
  <c r="P284" i="10"/>
  <c r="O284" i="10"/>
  <c r="N282" i="10"/>
  <c r="N280" i="10" s="1"/>
  <c r="M282" i="10"/>
  <c r="L282" i="10"/>
  <c r="P281" i="10"/>
  <c r="O281" i="10"/>
  <c r="O278" i="10"/>
  <c r="N278" i="10"/>
  <c r="M278" i="10"/>
  <c r="P278" i="10" s="1"/>
  <c r="L278" i="10"/>
  <c r="J276" i="10"/>
  <c r="I271" i="10"/>
  <c r="K271" i="10" s="1"/>
  <c r="N269" i="10"/>
  <c r="M269" i="10"/>
  <c r="P269" i="10" s="1"/>
  <c r="L269" i="10"/>
  <c r="P268" i="10"/>
  <c r="O268" i="10"/>
  <c r="N266" i="10"/>
  <c r="N264" i="10" s="1"/>
  <c r="M266" i="10"/>
  <c r="M264" i="10" s="1"/>
  <c r="L266" i="10"/>
  <c r="P265" i="10"/>
  <c r="O265" i="10"/>
  <c r="N262" i="10"/>
  <c r="M262" i="10"/>
  <c r="P262" i="10" s="1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L242" i="10"/>
  <c r="L241" i="10"/>
  <c r="L240" i="10"/>
  <c r="L239" i="10"/>
  <c r="P238" i="10"/>
  <c r="N238" i="10"/>
  <c r="N227" i="10" s="1"/>
  <c r="J237" i="10"/>
  <c r="J226" i="10" s="1"/>
  <c r="J180" i="10" s="1"/>
  <c r="J236" i="10"/>
  <c r="I236" i="10"/>
  <c r="K236" i="10" s="1"/>
  <c r="K235" i="10"/>
  <c r="J235" i="10"/>
  <c r="I235" i="10"/>
  <c r="J233" i="10"/>
  <c r="N231" i="10"/>
  <c r="N230" i="10"/>
  <c r="N229" i="10"/>
  <c r="N228" i="10"/>
  <c r="I225" i="10"/>
  <c r="K225" i="10" s="1"/>
  <c r="I224" i="10"/>
  <c r="I223" i="10"/>
  <c r="K223" i="10" s="1"/>
  <c r="L220" i="10"/>
  <c r="L219" i="10"/>
  <c r="L218" i="10"/>
  <c r="P217" i="10"/>
  <c r="N217" i="10"/>
  <c r="J216" i="10"/>
  <c r="I215" i="10"/>
  <c r="I208" i="10" s="1"/>
  <c r="K208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N184" i="10" s="1"/>
  <c r="M186" i="10"/>
  <c r="L186" i="10"/>
  <c r="P185" i="10"/>
  <c r="O185" i="10"/>
  <c r="P182" i="10"/>
  <c r="N182" i="10"/>
  <c r="M182" i="10"/>
  <c r="L182" i="10"/>
  <c r="J177" i="10"/>
  <c r="I176" i="10"/>
  <c r="K176" i="10" s="1"/>
  <c r="J174" i="10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L170" i="10"/>
  <c r="P169" i="10"/>
  <c r="O169" i="10"/>
  <c r="P166" i="10"/>
  <c r="O166" i="10"/>
  <c r="N166" i="10"/>
  <c r="M166" i="10"/>
  <c r="L166" i="10"/>
  <c r="J164" i="10"/>
  <c r="I159" i="10"/>
  <c r="K159" i="10" s="1"/>
  <c r="N157" i="10"/>
  <c r="N155" i="10" s="1"/>
  <c r="M157" i="10"/>
  <c r="P157" i="10" s="1"/>
  <c r="L157" i="10"/>
  <c r="O157" i="10" s="1"/>
  <c r="P156" i="10"/>
  <c r="O156" i="10"/>
  <c r="N154" i="10"/>
  <c r="M154" i="10"/>
  <c r="P154" i="10" s="1"/>
  <c r="L154" i="10"/>
  <c r="O154" i="10" s="1"/>
  <c r="P153" i="10"/>
  <c r="O153" i="10"/>
  <c r="P150" i="10"/>
  <c r="N150" i="10"/>
  <c r="M150" i="10"/>
  <c r="L150" i="10"/>
  <c r="O150" i="10" s="1"/>
  <c r="J148" i="10"/>
  <c r="I146" i="10"/>
  <c r="K146" i="10" s="1"/>
  <c r="I145" i="10"/>
  <c r="K145" i="10" s="1"/>
  <c r="I144" i="10"/>
  <c r="N140" i="10"/>
  <c r="N138" i="10" s="1"/>
  <c r="M140" i="10"/>
  <c r="M138" i="10" s="1"/>
  <c r="L140" i="10"/>
  <c r="P139" i="10"/>
  <c r="O139" i="10"/>
  <c r="N137" i="10"/>
  <c r="N135" i="10" s="1"/>
  <c r="M137" i="10"/>
  <c r="M135" i="10" s="1"/>
  <c r="L137" i="10"/>
  <c r="L135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P127" i="10" s="1"/>
  <c r="L127" i="10"/>
  <c r="O127" i="10" s="1"/>
  <c r="P126" i="10"/>
  <c r="O126" i="10"/>
  <c r="N124" i="10"/>
  <c r="M124" i="10"/>
  <c r="P124" i="10" s="1"/>
  <c r="L124" i="10"/>
  <c r="O124" i="10" s="1"/>
  <c r="P123" i="10"/>
  <c r="O123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P92" i="10"/>
  <c r="O92" i="10"/>
  <c r="P89" i="10"/>
  <c r="O89" i="10"/>
  <c r="N89" i="10"/>
  <c r="M89" i="10"/>
  <c r="L89" i="10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J77" i="10"/>
  <c r="J65" i="10" s="1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L71" i="10"/>
  <c r="P70" i="10"/>
  <c r="O70" i="10"/>
  <c r="O67" i="10"/>
  <c r="N67" i="10"/>
  <c r="M67" i="10"/>
  <c r="L67" i="10"/>
  <c r="J64" i="10"/>
  <c r="N61" i="10"/>
  <c r="N59" i="10" s="1"/>
  <c r="M61" i="10"/>
  <c r="P61" i="10" s="1"/>
  <c r="L61" i="10"/>
  <c r="L59" i="10" s="1"/>
  <c r="O59" i="10" s="1"/>
  <c r="P60" i="10"/>
  <c r="O60" i="10"/>
  <c r="N58" i="10"/>
  <c r="M58" i="10"/>
  <c r="M56" i="10" s="1"/>
  <c r="L58" i="10"/>
  <c r="P57" i="10"/>
  <c r="O57" i="10"/>
  <c r="N54" i="10"/>
  <c r="M54" i="10"/>
  <c r="L54" i="10"/>
  <c r="O54" i="10" s="1"/>
  <c r="N49" i="10"/>
  <c r="N47" i="10" s="1"/>
  <c r="M49" i="10"/>
  <c r="L49" i="10"/>
  <c r="O49" i="10" s="1"/>
  <c r="P48" i="10"/>
  <c r="O48" i="10"/>
  <c r="N46" i="10"/>
  <c r="M46" i="10"/>
  <c r="M44" i="10" s="1"/>
  <c r="L46" i="10"/>
  <c r="L44" i="10" s="1"/>
  <c r="P45" i="10"/>
  <c r="O45" i="10"/>
  <c r="P42" i="10"/>
  <c r="O42" i="10"/>
  <c r="N42" i="10"/>
  <c r="M42" i="10"/>
  <c r="L42" i="10"/>
  <c r="P36" i="10"/>
  <c r="N36" i="10"/>
  <c r="M36" i="10"/>
  <c r="P35" i="10"/>
  <c r="O35" i="10"/>
  <c r="N35" i="10"/>
  <c r="M35" i="10"/>
  <c r="M34" i="10" s="1"/>
  <c r="P34" i="10" s="1"/>
  <c r="L35" i="10"/>
  <c r="N34" i="10"/>
  <c r="N33" i="10"/>
  <c r="N30" i="10" s="1"/>
  <c r="N32" i="10"/>
  <c r="N29" i="10" s="1"/>
  <c r="M32" i="10"/>
  <c r="L32" i="10"/>
  <c r="N28" i="10"/>
  <c r="O25" i="10"/>
  <c r="N25" i="10"/>
  <c r="M25" i="10"/>
  <c r="L25" i="10"/>
  <c r="P22" i="10"/>
  <c r="O22" i="10"/>
  <c r="N22" i="10"/>
  <c r="M22" i="10"/>
  <c r="L22" i="10"/>
  <c r="L12" i="10" s="1"/>
  <c r="M19" i="10"/>
  <c r="P19" i="10" s="1"/>
  <c r="L19" i="10"/>
  <c r="L15" i="10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O808" i="9"/>
  <c r="N808" i="9"/>
  <c r="M808" i="9"/>
  <c r="L808" i="9"/>
  <c r="O807" i="9"/>
  <c r="M807" i="9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P790" i="9"/>
  <c r="O790" i="9"/>
  <c r="P789" i="9"/>
  <c r="N789" i="9"/>
  <c r="M789" i="9"/>
  <c r="M788" i="9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P774" i="9"/>
  <c r="O774" i="9"/>
  <c r="O773" i="9"/>
  <c r="N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O757" i="9"/>
  <c r="N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O740" i="9"/>
  <c r="N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N688" i="9"/>
  <c r="M688" i="9"/>
  <c r="M687" i="9"/>
  <c r="P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3" i="9" s="1"/>
  <c r="P667" i="9"/>
  <c r="O667" i="9"/>
  <c r="P666" i="9"/>
  <c r="O666" i="9"/>
  <c r="P665" i="9"/>
  <c r="N665" i="9"/>
  <c r="M665" i="9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O656" i="9"/>
  <c r="N656" i="9"/>
  <c r="M656" i="9"/>
  <c r="P656" i="9" s="1"/>
  <c r="L656" i="9"/>
  <c r="N655" i="9"/>
  <c r="J654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N634" i="9"/>
  <c r="L634" i="9"/>
  <c r="L632" i="9" s="1"/>
  <c r="P633" i="9"/>
  <c r="O633" i="9"/>
  <c r="N632" i="9"/>
  <c r="N631" i="9"/>
  <c r="N630" i="9"/>
  <c r="N629" i="9" s="1"/>
  <c r="M630" i="9"/>
  <c r="P630" i="9" s="1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K594" i="9" s="1"/>
  <c r="I593" i="9"/>
  <c r="J583" i="9"/>
  <c r="J577" i="9" s="1"/>
  <c r="J582" i="9"/>
  <c r="I577" i="9"/>
  <c r="K577" i="9" s="1"/>
  <c r="J576" i="9"/>
  <c r="J559" i="9" s="1"/>
  <c r="J543" i="9" s="1"/>
  <c r="I576" i="9"/>
  <c r="I559" i="9" s="1"/>
  <c r="I543" i="9" s="1"/>
  <c r="K543" i="9" s="1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P556" i="9"/>
  <c r="O556" i="9"/>
  <c r="N555" i="9"/>
  <c r="N545" i="9" s="1"/>
  <c r="N544" i="9" s="1"/>
  <c r="M555" i="9"/>
  <c r="P555" i="9" s="1"/>
  <c r="N549" i="9"/>
  <c r="L549" i="9"/>
  <c r="O549" i="9" s="1"/>
  <c r="P548" i="9"/>
  <c r="O548" i="9"/>
  <c r="N547" i="9"/>
  <c r="N546" i="9"/>
  <c r="P545" i="9"/>
  <c r="M545" i="9"/>
  <c r="L545" i="9"/>
  <c r="O545" i="9" s="1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P525" i="9"/>
  <c r="N525" i="9"/>
  <c r="M525" i="9"/>
  <c r="P524" i="9"/>
  <c r="O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N504" i="9" s="1"/>
  <c r="P506" i="9"/>
  <c r="O506" i="9"/>
  <c r="P505" i="9"/>
  <c r="O505" i="9"/>
  <c r="N505" i="9"/>
  <c r="M505" i="9"/>
  <c r="L505" i="9"/>
  <c r="O504" i="9"/>
  <c r="M504" i="9"/>
  <c r="L504" i="9"/>
  <c r="N503" i="9"/>
  <c r="M503" i="9"/>
  <c r="P503" i="9" s="1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L472" i="9"/>
  <c r="L470" i="9" s="1"/>
  <c r="P471" i="9"/>
  <c r="O471" i="9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I442" i="9" s="1"/>
  <c r="K442" i="9" s="1"/>
  <c r="K458" i="9"/>
  <c r="P456" i="9"/>
  <c r="L456" i="9"/>
  <c r="P455" i="9"/>
  <c r="O455" i="9"/>
  <c r="N454" i="9"/>
  <c r="M454" i="9"/>
  <c r="P454" i="9" s="1"/>
  <c r="N449" i="9"/>
  <c r="N447" i="9" s="1"/>
  <c r="L449" i="9"/>
  <c r="P448" i="9"/>
  <c r="O448" i="9"/>
  <c r="N446" i="9"/>
  <c r="O445" i="9"/>
  <c r="N445" i="9"/>
  <c r="N444" i="9" s="1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L422" i="9" s="1"/>
  <c r="O422" i="9" s="1"/>
  <c r="P423" i="9"/>
  <c r="O423" i="9"/>
  <c r="N422" i="9"/>
  <c r="N421" i="9"/>
  <c r="N420" i="9"/>
  <c r="N419" i="9" s="1"/>
  <c r="M420" i="9"/>
  <c r="P420" i="9" s="1"/>
  <c r="L420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P407" i="9" s="1"/>
  <c r="L407" i="9"/>
  <c r="O407" i="9" s="1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L397" i="9"/>
  <c r="P396" i="9"/>
  <c r="O396" i="9"/>
  <c r="N394" i="9"/>
  <c r="M394" i="9"/>
  <c r="L394" i="9"/>
  <c r="P393" i="9"/>
  <c r="O393" i="9"/>
  <c r="N390" i="9"/>
  <c r="M390" i="9"/>
  <c r="P390" i="9" s="1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M351" i="9" s="1"/>
  <c r="L353" i="9"/>
  <c r="L351" i="9" s="1"/>
  <c r="P352" i="9"/>
  <c r="O352" i="9"/>
  <c r="N350" i="9"/>
  <c r="N348" i="9" s="1"/>
  <c r="M350" i="9"/>
  <c r="M348" i="9" s="1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M334" i="9" s="1"/>
  <c r="P334" i="9" s="1"/>
  <c r="L336" i="9"/>
  <c r="L334" i="9" s="1"/>
  <c r="O334" i="9" s="1"/>
  <c r="P335" i="9"/>
  <c r="O335" i="9"/>
  <c r="N333" i="9"/>
  <c r="M333" i="9"/>
  <c r="M331" i="9" s="1"/>
  <c r="L333" i="9"/>
  <c r="P332" i="9"/>
  <c r="O332" i="9"/>
  <c r="O329" i="9"/>
  <c r="N329" i="9"/>
  <c r="M329" i="9"/>
  <c r="P329" i="9" s="1"/>
  <c r="L329" i="9"/>
  <c r="I327" i="9"/>
  <c r="I325" i="9"/>
  <c r="I314" i="9" s="1"/>
  <c r="K314" i="9" s="1"/>
  <c r="N323" i="9"/>
  <c r="N321" i="9" s="1"/>
  <c r="M323" i="9"/>
  <c r="P323" i="9" s="1"/>
  <c r="L323" i="9"/>
  <c r="O323" i="9" s="1"/>
  <c r="P322" i="9"/>
  <c r="O322" i="9"/>
  <c r="N320" i="9"/>
  <c r="N318" i="9" s="1"/>
  <c r="M320" i="9"/>
  <c r="P320" i="9" s="1"/>
  <c r="L320" i="9"/>
  <c r="P319" i="9"/>
  <c r="O319" i="9"/>
  <c r="N316" i="9"/>
  <c r="M316" i="9"/>
  <c r="P316" i="9" s="1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M306" i="9"/>
  <c r="M304" i="9" s="1"/>
  <c r="P304" i="9" s="1"/>
  <c r="L306" i="9"/>
  <c r="O306" i="9" s="1"/>
  <c r="P305" i="9"/>
  <c r="O305" i="9"/>
  <c r="N303" i="9"/>
  <c r="N301" i="9" s="1"/>
  <c r="M303" i="9"/>
  <c r="M301" i="9" s="1"/>
  <c r="P301" i="9" s="1"/>
  <c r="L303" i="9"/>
  <c r="O303" i="9" s="1"/>
  <c r="P302" i="9"/>
  <c r="O302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K287" i="9" s="1"/>
  <c r="N285" i="9"/>
  <c r="N283" i="9" s="1"/>
  <c r="M285" i="9"/>
  <c r="P285" i="9" s="1"/>
  <c r="L285" i="9"/>
  <c r="P284" i="9"/>
  <c r="O284" i="9"/>
  <c r="N282" i="9"/>
  <c r="N280" i="9" s="1"/>
  <c r="M282" i="9"/>
  <c r="L282" i="9"/>
  <c r="P281" i="9"/>
  <c r="O281" i="9"/>
  <c r="O278" i="9"/>
  <c r="N278" i="9"/>
  <c r="M278" i="9"/>
  <c r="P278" i="9" s="1"/>
  <c r="L278" i="9"/>
  <c r="J276" i="9"/>
  <c r="I271" i="9"/>
  <c r="K271" i="9" s="1"/>
  <c r="N269" i="9"/>
  <c r="N267" i="9" s="1"/>
  <c r="M269" i="9"/>
  <c r="P269" i="9" s="1"/>
  <c r="L269" i="9"/>
  <c r="P268" i="9"/>
  <c r="O268" i="9"/>
  <c r="N266" i="9"/>
  <c r="M266" i="9"/>
  <c r="M264" i="9" s="1"/>
  <c r="L266" i="9"/>
  <c r="P265" i="9"/>
  <c r="O265" i="9"/>
  <c r="O262" i="9"/>
  <c r="N262" i="9"/>
  <c r="M262" i="9"/>
  <c r="P262" i="9" s="1"/>
  <c r="L262" i="9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26" i="9" s="1"/>
  <c r="J180" i="9" s="1"/>
  <c r="J236" i="9"/>
  <c r="I236" i="9"/>
  <c r="K236" i="9" s="1"/>
  <c r="J235" i="9"/>
  <c r="I235" i="9"/>
  <c r="K235" i="9" s="1"/>
  <c r="J233" i="9"/>
  <c r="N231" i="9"/>
  <c r="N230" i="9"/>
  <c r="N229" i="9"/>
  <c r="N228" i="9"/>
  <c r="I225" i="9"/>
  <c r="K225" i="9" s="1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I190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L186" i="9"/>
  <c r="P185" i="9"/>
  <c r="O185" i="9"/>
  <c r="O182" i="9"/>
  <c r="N182" i="9"/>
  <c r="M182" i="9"/>
  <c r="L182" i="9"/>
  <c r="J177" i="9"/>
  <c r="J164" i="9" s="1"/>
  <c r="I176" i="9"/>
  <c r="K176" i="9" s="1"/>
  <c r="J174" i="9"/>
  <c r="N173" i="9"/>
  <c r="N171" i="9" s="1"/>
  <c r="M173" i="9"/>
  <c r="P173" i="9" s="1"/>
  <c r="L173" i="9"/>
  <c r="O173" i="9" s="1"/>
  <c r="P172" i="9"/>
  <c r="O172" i="9"/>
  <c r="N170" i="9"/>
  <c r="N168" i="9" s="1"/>
  <c r="M170" i="9"/>
  <c r="L170" i="9"/>
  <c r="P169" i="9"/>
  <c r="O169" i="9"/>
  <c r="O166" i="9"/>
  <c r="N166" i="9"/>
  <c r="M166" i="9"/>
  <c r="L166" i="9"/>
  <c r="I159" i="9"/>
  <c r="K159" i="9" s="1"/>
  <c r="N157" i="9"/>
  <c r="N155" i="9" s="1"/>
  <c r="M157" i="9"/>
  <c r="P157" i="9" s="1"/>
  <c r="L157" i="9"/>
  <c r="P156" i="9"/>
  <c r="O156" i="9"/>
  <c r="N154" i="9"/>
  <c r="N152" i="9" s="1"/>
  <c r="M154" i="9"/>
  <c r="L154" i="9"/>
  <c r="P153" i="9"/>
  <c r="O153" i="9"/>
  <c r="O150" i="9"/>
  <c r="N150" i="9"/>
  <c r="M150" i="9"/>
  <c r="P150" i="9" s="1"/>
  <c r="L150" i="9"/>
  <c r="J148" i="9"/>
  <c r="I146" i="9"/>
  <c r="I130" i="9" s="1"/>
  <c r="I145" i="9"/>
  <c r="K145" i="9" s="1"/>
  <c r="I144" i="9"/>
  <c r="K144" i="9" s="1"/>
  <c r="N140" i="9"/>
  <c r="M140" i="9"/>
  <c r="M138" i="9" s="1"/>
  <c r="L140" i="9"/>
  <c r="L138" i="9" s="1"/>
  <c r="P139" i="9"/>
  <c r="O139" i="9"/>
  <c r="N137" i="9"/>
  <c r="N135" i="9" s="1"/>
  <c r="M137" i="9"/>
  <c r="L137" i="9"/>
  <c r="L135" i="9" s="1"/>
  <c r="P136" i="9"/>
  <c r="O136" i="9"/>
  <c r="P133" i="9"/>
  <c r="N133" i="9"/>
  <c r="M133" i="9"/>
  <c r="L133" i="9"/>
  <c r="J130" i="9"/>
  <c r="N127" i="9"/>
  <c r="M127" i="9"/>
  <c r="L127" i="9"/>
  <c r="P126" i="9"/>
  <c r="O126" i="9"/>
  <c r="N124" i="9"/>
  <c r="N122" i="9" s="1"/>
  <c r="M124" i="9"/>
  <c r="P124" i="9" s="1"/>
  <c r="L124" i="9"/>
  <c r="P123" i="9"/>
  <c r="O123" i="9"/>
  <c r="O120" i="9"/>
  <c r="N120" i="9"/>
  <c r="M120" i="9"/>
  <c r="P120" i="9" s="1"/>
  <c r="L120" i="9"/>
  <c r="J118" i="9"/>
  <c r="K118" i="9" s="1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I99" i="9"/>
  <c r="I87" i="9" s="1"/>
  <c r="K87" i="9" s="1"/>
  <c r="J98" i="9"/>
  <c r="I98" i="9"/>
  <c r="I86" i="9" s="1"/>
  <c r="N96" i="9"/>
  <c r="N94" i="9" s="1"/>
  <c r="M96" i="9"/>
  <c r="P96" i="9" s="1"/>
  <c r="L96" i="9"/>
  <c r="P95" i="9"/>
  <c r="O95" i="9"/>
  <c r="N93" i="9"/>
  <c r="M93" i="9"/>
  <c r="M91" i="9" s="1"/>
  <c r="L93" i="9"/>
  <c r="L91" i="9" s="1"/>
  <c r="P92" i="9"/>
  <c r="O92" i="9"/>
  <c r="O89" i="9"/>
  <c r="N89" i="9"/>
  <c r="M89" i="9"/>
  <c r="P89" i="9" s="1"/>
  <c r="L89" i="9"/>
  <c r="J87" i="9"/>
  <c r="J86" i="9"/>
  <c r="I84" i="9"/>
  <c r="K84" i="9" s="1"/>
  <c r="I83" i="9"/>
  <c r="K83" i="9" s="1"/>
  <c r="I82" i="9"/>
  <c r="I81" i="9"/>
  <c r="K81" i="9" s="1"/>
  <c r="I80" i="9"/>
  <c r="K80" i="9" s="1"/>
  <c r="I79" i="9"/>
  <c r="I78" i="9"/>
  <c r="K78" i="9" s="1"/>
  <c r="J77" i="9"/>
  <c r="J65" i="9" s="1"/>
  <c r="J76" i="9"/>
  <c r="N74" i="9"/>
  <c r="M74" i="9"/>
  <c r="L74" i="9"/>
  <c r="O74" i="9" s="1"/>
  <c r="P73" i="9"/>
  <c r="O73" i="9"/>
  <c r="N71" i="9"/>
  <c r="M71" i="9"/>
  <c r="L71" i="9"/>
  <c r="L69" i="9" s="1"/>
  <c r="P70" i="9"/>
  <c r="O70" i="9"/>
  <c r="N67" i="9"/>
  <c r="M67" i="9"/>
  <c r="L67" i="9"/>
  <c r="O67" i="9" s="1"/>
  <c r="J64" i="9"/>
  <c r="N61" i="9"/>
  <c r="N59" i="9" s="1"/>
  <c r="M61" i="9"/>
  <c r="P61" i="9" s="1"/>
  <c r="L61" i="9"/>
  <c r="O61" i="9" s="1"/>
  <c r="P60" i="9"/>
  <c r="O60" i="9"/>
  <c r="N58" i="9"/>
  <c r="N56" i="9" s="1"/>
  <c r="M58" i="9"/>
  <c r="M56" i="9" s="1"/>
  <c r="L58" i="9"/>
  <c r="L56" i="9" s="1"/>
  <c r="P57" i="9"/>
  <c r="O57" i="9"/>
  <c r="P54" i="9"/>
  <c r="O54" i="9"/>
  <c r="N54" i="9"/>
  <c r="M54" i="9"/>
  <c r="L54" i="9"/>
  <c r="N49" i="9"/>
  <c r="N47" i="9" s="1"/>
  <c r="M49" i="9"/>
  <c r="L49" i="9"/>
  <c r="O49" i="9" s="1"/>
  <c r="P48" i="9"/>
  <c r="O48" i="9"/>
  <c r="N46" i="9"/>
  <c r="M46" i="9"/>
  <c r="L46" i="9"/>
  <c r="L44" i="9" s="1"/>
  <c r="P45" i="9"/>
  <c r="O45" i="9"/>
  <c r="P42" i="9"/>
  <c r="N42" i="9"/>
  <c r="M42" i="9"/>
  <c r="L42" i="9"/>
  <c r="O42" i="9" s="1"/>
  <c r="N36" i="9"/>
  <c r="M36" i="9"/>
  <c r="P36" i="9" s="1"/>
  <c r="P35" i="9"/>
  <c r="N35" i="9"/>
  <c r="M35" i="9"/>
  <c r="L35" i="9"/>
  <c r="N34" i="9"/>
  <c r="N33" i="9"/>
  <c r="N30" i="9" s="1"/>
  <c r="O32" i="9"/>
  <c r="N32" i="9"/>
  <c r="M32" i="9"/>
  <c r="L32" i="9"/>
  <c r="L29" i="9" s="1"/>
  <c r="N29" i="9"/>
  <c r="N28" i="9" s="1"/>
  <c r="N25" i="9"/>
  <c r="M25" i="9"/>
  <c r="L25" i="9"/>
  <c r="O25" i="9" s="1"/>
  <c r="P22" i="9"/>
  <c r="N22" i="9"/>
  <c r="M22" i="9"/>
  <c r="L22" i="9"/>
  <c r="M19" i="9"/>
  <c r="P19" i="9" s="1"/>
  <c r="N15" i="9"/>
  <c r="N12" i="9"/>
  <c r="M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L807" i="8"/>
  <c r="O807" i="8" s="1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P790" i="8"/>
  <c r="O790" i="8"/>
  <c r="N789" i="8"/>
  <c r="M789" i="8"/>
  <c r="P789" i="8" s="1"/>
  <c r="M788" i="8"/>
  <c r="L788" i="8"/>
  <c r="O788" i="8" s="1"/>
  <c r="P787" i="8"/>
  <c r="N787" i="8"/>
  <c r="M787" i="8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P774" i="8"/>
  <c r="O774" i="8"/>
  <c r="O773" i="8"/>
  <c r="N773" i="8"/>
  <c r="M773" i="8"/>
  <c r="P773" i="8" s="1"/>
  <c r="L773" i="8"/>
  <c r="N772" i="8"/>
  <c r="N770" i="8" s="1"/>
  <c r="M772" i="8"/>
  <c r="P772" i="8" s="1"/>
  <c r="L772" i="8"/>
  <c r="O772" i="8" s="1"/>
  <c r="N771" i="8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P758" i="8"/>
  <c r="O758" i="8"/>
  <c r="O757" i="8"/>
  <c r="N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0" i="8"/>
  <c r="L690" i="8"/>
  <c r="M690" i="8" s="1"/>
  <c r="M688" i="8" s="1"/>
  <c r="N688" i="8"/>
  <c r="N687" i="8"/>
  <c r="N685" i="8" s="1"/>
  <c r="N686" i="8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2" i="8" s="1"/>
  <c r="P667" i="8"/>
  <c r="O667" i="8"/>
  <c r="P666" i="8"/>
  <c r="O666" i="8"/>
  <c r="N665" i="8"/>
  <c r="M665" i="8"/>
  <c r="P665" i="8" s="1"/>
  <c r="L665" i="8"/>
  <c r="O665" i="8" s="1"/>
  <c r="N660" i="8"/>
  <c r="N658" i="8" s="1"/>
  <c r="L660" i="8"/>
  <c r="P659" i="8"/>
  <c r="O659" i="8"/>
  <c r="N657" i="8"/>
  <c r="P656" i="8"/>
  <c r="O656" i="8"/>
  <c r="N656" i="8"/>
  <c r="M656" i="8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N632" i="8" s="1"/>
  <c r="L634" i="8"/>
  <c r="O634" i="8" s="1"/>
  <c r="P633" i="8"/>
  <c r="O633" i="8"/>
  <c r="N631" i="8"/>
  <c r="N630" i="8"/>
  <c r="M630" i="8"/>
  <c r="P630" i="8" s="1"/>
  <c r="L630" i="8"/>
  <c r="O630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I594" i="8"/>
  <c r="J593" i="8"/>
  <c r="J592" i="8" s="1"/>
  <c r="I593" i="8"/>
  <c r="I592" i="8" s="1"/>
  <c r="J583" i="8"/>
  <c r="J577" i="8" s="1"/>
  <c r="J582" i="8"/>
  <c r="I577" i="8"/>
  <c r="J576" i="8"/>
  <c r="J559" i="8" s="1"/>
  <c r="J543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N545" i="8" s="1"/>
  <c r="N544" i="8" s="1"/>
  <c r="M555" i="8"/>
  <c r="N549" i="8"/>
  <c r="L549" i="8"/>
  <c r="P548" i="8"/>
  <c r="O548" i="8"/>
  <c r="N547" i="8"/>
  <c r="N546" i="8"/>
  <c r="L545" i="8"/>
  <c r="I542" i="8"/>
  <c r="K542" i="8" s="1"/>
  <c r="I541" i="8"/>
  <c r="K541" i="8" s="1"/>
  <c r="I540" i="8"/>
  <c r="K540" i="8" s="1"/>
  <c r="I539" i="8"/>
  <c r="K539" i="8" s="1"/>
  <c r="I538" i="8"/>
  <c r="I537" i="8"/>
  <c r="P535" i="8"/>
  <c r="L535" i="8"/>
  <c r="L533" i="8" s="1"/>
  <c r="O533" i="8" s="1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L526" i="8"/>
  <c r="O526" i="8" s="1"/>
  <c r="P525" i="8"/>
  <c r="N525" i="8"/>
  <c r="M525" i="8"/>
  <c r="P524" i="8"/>
  <c r="O524" i="8"/>
  <c r="N524" i="8"/>
  <c r="M524" i="8"/>
  <c r="L524" i="8"/>
  <c r="N523" i="8"/>
  <c r="M523" i="8"/>
  <c r="P523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O505" i="8"/>
  <c r="M505" i="8"/>
  <c r="L505" i="8"/>
  <c r="O504" i="8"/>
  <c r="N504" i="8"/>
  <c r="M504" i="8"/>
  <c r="P504" i="8" s="1"/>
  <c r="L504" i="8"/>
  <c r="N503" i="8"/>
  <c r="N502" i="8" s="1"/>
  <c r="M503" i="8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P477" i="8"/>
  <c r="N477" i="8"/>
  <c r="M477" i="8"/>
  <c r="N472" i="8"/>
  <c r="L472" i="8"/>
  <c r="L470" i="8" s="1"/>
  <c r="O470" i="8" s="1"/>
  <c r="P471" i="8"/>
  <c r="O471" i="8"/>
  <c r="N470" i="8"/>
  <c r="N469" i="8"/>
  <c r="O468" i="8"/>
  <c r="N468" i="8"/>
  <c r="M468" i="8"/>
  <c r="P468" i="8" s="1"/>
  <c r="L468" i="8"/>
  <c r="N467" i="8"/>
  <c r="J466" i="8"/>
  <c r="I466" i="8"/>
  <c r="K466" i="8" s="1"/>
  <c r="J465" i="8"/>
  <c r="I465" i="8"/>
  <c r="I464" i="8"/>
  <c r="K464" i="8" s="1"/>
  <c r="I463" i="8"/>
  <c r="K463" i="8" s="1"/>
  <c r="I462" i="8"/>
  <c r="K462" i="8" s="1"/>
  <c r="I460" i="8"/>
  <c r="K460" i="8" s="1"/>
  <c r="K458" i="8"/>
  <c r="P456" i="8"/>
  <c r="L456" i="8"/>
  <c r="O456" i="8" s="1"/>
  <c r="P455" i="8"/>
  <c r="O455" i="8"/>
  <c r="N454" i="8"/>
  <c r="M454" i="8"/>
  <c r="P454" i="8" s="1"/>
  <c r="N449" i="8"/>
  <c r="L449" i="8"/>
  <c r="M449" i="8" s="1"/>
  <c r="M446" i="8" s="1"/>
  <c r="P448" i="8"/>
  <c r="O448" i="8"/>
  <c r="N445" i="8"/>
  <c r="M445" i="8"/>
  <c r="L445" i="8"/>
  <c r="O445" i="8" s="1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J434" i="8"/>
  <c r="P431" i="8"/>
  <c r="L431" i="8"/>
  <c r="O431" i="8" s="1"/>
  <c r="P430" i="8"/>
  <c r="O430" i="8"/>
  <c r="P429" i="8"/>
  <c r="N429" i="8"/>
  <c r="M429" i="8"/>
  <c r="N424" i="8"/>
  <c r="N422" i="8" s="1"/>
  <c r="L424" i="8"/>
  <c r="M424" i="8" s="1"/>
  <c r="P423" i="8"/>
  <c r="O423" i="8"/>
  <c r="N421" i="8"/>
  <c r="N420" i="8"/>
  <c r="N419" i="8" s="1"/>
  <c r="M420" i="8"/>
  <c r="L420" i="8"/>
  <c r="O420" i="8" s="1"/>
  <c r="J418" i="8"/>
  <c r="K413" i="8"/>
  <c r="K412" i="8"/>
  <c r="N410" i="8"/>
  <c r="N408" i="8" s="1"/>
  <c r="M410" i="8"/>
  <c r="L410" i="8"/>
  <c r="P409" i="8"/>
  <c r="O409" i="8"/>
  <c r="N407" i="8"/>
  <c r="N405" i="8" s="1"/>
  <c r="M407" i="8"/>
  <c r="L407" i="8"/>
  <c r="P406" i="8"/>
  <c r="O406" i="8"/>
  <c r="P403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M394" i="8"/>
  <c r="P394" i="8" s="1"/>
  <c r="L394" i="8"/>
  <c r="L392" i="8" s="1"/>
  <c r="O392" i="8" s="1"/>
  <c r="P393" i="8"/>
  <c r="O393" i="8"/>
  <c r="N390" i="8"/>
  <c r="M390" i="8"/>
  <c r="P390" i="8" s="1"/>
  <c r="L390" i="8"/>
  <c r="O390" i="8" s="1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L351" i="8" s="1"/>
  <c r="P352" i="8"/>
  <c r="O352" i="8"/>
  <c r="N350" i="8"/>
  <c r="N348" i="8" s="1"/>
  <c r="M350" i="8"/>
  <c r="M348" i="8" s="1"/>
  <c r="L350" i="8"/>
  <c r="P349" i="8"/>
  <c r="O349" i="8"/>
  <c r="P346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P335" i="8"/>
  <c r="O335" i="8"/>
  <c r="N333" i="8"/>
  <c r="N331" i="8" s="1"/>
  <c r="M333" i="8"/>
  <c r="M331" i="8" s="1"/>
  <c r="L333" i="8"/>
  <c r="L331" i="8" s="1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O323" i="8" s="1"/>
  <c r="P322" i="8"/>
  <c r="O322" i="8"/>
  <c r="N320" i="8"/>
  <c r="M320" i="8"/>
  <c r="P320" i="8" s="1"/>
  <c r="L320" i="8"/>
  <c r="O320" i="8" s="1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P305" i="8"/>
  <c r="O305" i="8"/>
  <c r="N303" i="8"/>
  <c r="N301" i="8" s="1"/>
  <c r="M303" i="8"/>
  <c r="L303" i="8"/>
  <c r="L301" i="8" s="1"/>
  <c r="P302" i="8"/>
  <c r="O302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I276" i="8" s="1"/>
  <c r="N285" i="8"/>
  <c r="N283" i="8" s="1"/>
  <c r="M285" i="8"/>
  <c r="P285" i="8" s="1"/>
  <c r="L285" i="8"/>
  <c r="L283" i="8" s="1"/>
  <c r="O283" i="8" s="1"/>
  <c r="P284" i="8"/>
  <c r="O284" i="8"/>
  <c r="N282" i="8"/>
  <c r="M282" i="8"/>
  <c r="M280" i="8" s="1"/>
  <c r="L282" i="8"/>
  <c r="L280" i="8" s="1"/>
  <c r="P281" i="8"/>
  <c r="O281" i="8"/>
  <c r="O278" i="8"/>
  <c r="N278" i="8"/>
  <c r="M278" i="8"/>
  <c r="P278" i="8" s="1"/>
  <c r="L278" i="8"/>
  <c r="J276" i="8"/>
  <c r="I271" i="8"/>
  <c r="K271" i="8" s="1"/>
  <c r="N269" i="8"/>
  <c r="N267" i="8" s="1"/>
  <c r="M269" i="8"/>
  <c r="L269" i="8"/>
  <c r="L267" i="8" s="1"/>
  <c r="O267" i="8" s="1"/>
  <c r="P268" i="8"/>
  <c r="O268" i="8"/>
  <c r="N266" i="8"/>
  <c r="N264" i="8" s="1"/>
  <c r="M266" i="8"/>
  <c r="L266" i="8"/>
  <c r="L264" i="8" s="1"/>
  <c r="P265" i="8"/>
  <c r="O265" i="8"/>
  <c r="N262" i="8"/>
  <c r="M262" i="8"/>
  <c r="L262" i="8"/>
  <c r="O262" i="8" s="1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I237" i="8" s="1"/>
  <c r="K237" i="8" s="1"/>
  <c r="L242" i="8"/>
  <c r="L241" i="8"/>
  <c r="L240" i="8"/>
  <c r="L239" i="8"/>
  <c r="P238" i="8"/>
  <c r="N238" i="8"/>
  <c r="N227" i="8" s="1"/>
  <c r="J237" i="8"/>
  <c r="J236" i="8"/>
  <c r="I236" i="8"/>
  <c r="K236" i="8" s="1"/>
  <c r="K235" i="8"/>
  <c r="J235" i="8"/>
  <c r="I235" i="8"/>
  <c r="J233" i="8"/>
  <c r="N231" i="8"/>
  <c r="N230" i="8"/>
  <c r="N229" i="8"/>
  <c r="N228" i="8"/>
  <c r="J226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L186" i="8"/>
  <c r="P185" i="8"/>
  <c r="O185" i="8"/>
  <c r="P182" i="8"/>
  <c r="N182" i="8"/>
  <c r="M182" i="8"/>
  <c r="L182" i="8"/>
  <c r="J180" i="8"/>
  <c r="J177" i="8"/>
  <c r="I176" i="8"/>
  <c r="K176" i="8" s="1"/>
  <c r="J174" i="8"/>
  <c r="N173" i="8"/>
  <c r="N171" i="8" s="1"/>
  <c r="M173" i="8"/>
  <c r="P173" i="8" s="1"/>
  <c r="L173" i="8"/>
  <c r="P172" i="8"/>
  <c r="O172" i="8"/>
  <c r="N170" i="8"/>
  <c r="M170" i="8"/>
  <c r="L170" i="8"/>
  <c r="P169" i="8"/>
  <c r="O169" i="8"/>
  <c r="P166" i="8"/>
  <c r="N166" i="8"/>
  <c r="M166" i="8"/>
  <c r="L166" i="8"/>
  <c r="J164" i="8"/>
  <c r="I159" i="8"/>
  <c r="K159" i="8" s="1"/>
  <c r="N157" i="8"/>
  <c r="N155" i="8" s="1"/>
  <c r="M157" i="8"/>
  <c r="L157" i="8"/>
  <c r="O157" i="8" s="1"/>
  <c r="P156" i="8"/>
  <c r="O156" i="8"/>
  <c r="N154" i="8"/>
  <c r="N152" i="8" s="1"/>
  <c r="M154" i="8"/>
  <c r="L154" i="8"/>
  <c r="L152" i="8" s="1"/>
  <c r="P153" i="8"/>
  <c r="O153" i="8"/>
  <c r="N150" i="8"/>
  <c r="M150" i="8"/>
  <c r="P150" i="8" s="1"/>
  <c r="L150" i="8"/>
  <c r="O150" i="8" s="1"/>
  <c r="J148" i="8"/>
  <c r="I146" i="8"/>
  <c r="I145" i="8"/>
  <c r="I143" i="8" s="1"/>
  <c r="I144" i="8"/>
  <c r="K144" i="8" s="1"/>
  <c r="N140" i="8"/>
  <c r="N138" i="8" s="1"/>
  <c r="M140" i="8"/>
  <c r="P140" i="8" s="1"/>
  <c r="L140" i="8"/>
  <c r="O140" i="8" s="1"/>
  <c r="P139" i="8"/>
  <c r="O139" i="8"/>
  <c r="N137" i="8"/>
  <c r="N135" i="8" s="1"/>
  <c r="M137" i="8"/>
  <c r="P137" i="8" s="1"/>
  <c r="L137" i="8"/>
  <c r="O137" i="8" s="1"/>
  <c r="P136" i="8"/>
  <c r="O136" i="8"/>
  <c r="P133" i="8"/>
  <c r="O133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M124" i="8"/>
  <c r="L124" i="8"/>
  <c r="L122" i="8" s="1"/>
  <c r="O122" i="8" s="1"/>
  <c r="P123" i="8"/>
  <c r="O123" i="8"/>
  <c r="N120" i="8"/>
  <c r="M120" i="8"/>
  <c r="P120" i="8" s="1"/>
  <c r="L120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I86" i="8" s="1"/>
  <c r="K86" i="8" s="1"/>
  <c r="N96" i="8"/>
  <c r="M96" i="8"/>
  <c r="P96" i="8" s="1"/>
  <c r="L96" i="8"/>
  <c r="O96" i="8" s="1"/>
  <c r="P95" i="8"/>
  <c r="O95" i="8"/>
  <c r="N93" i="8"/>
  <c r="N91" i="8" s="1"/>
  <c r="M93" i="8"/>
  <c r="L93" i="8"/>
  <c r="P92" i="8"/>
  <c r="O92" i="8"/>
  <c r="P89" i="8"/>
  <c r="N89" i="8"/>
  <c r="M89" i="8"/>
  <c r="L89" i="8"/>
  <c r="J87" i="8"/>
  <c r="I84" i="8"/>
  <c r="K84" i="8" s="1"/>
  <c r="I83" i="8"/>
  <c r="K83" i="8" s="1"/>
  <c r="I82" i="8"/>
  <c r="K82" i="8" s="1"/>
  <c r="I81" i="8"/>
  <c r="I80" i="8"/>
  <c r="I79" i="8"/>
  <c r="K79" i="8" s="1"/>
  <c r="I78" i="8"/>
  <c r="K78" i="8" s="1"/>
  <c r="J77" i="8"/>
  <c r="J76" i="8"/>
  <c r="N74" i="8"/>
  <c r="N72" i="8" s="1"/>
  <c r="M74" i="8"/>
  <c r="P74" i="8" s="1"/>
  <c r="L74" i="8"/>
  <c r="O74" i="8" s="1"/>
  <c r="P73" i="8"/>
  <c r="O73" i="8"/>
  <c r="N71" i="8"/>
  <c r="N69" i="8" s="1"/>
  <c r="M71" i="8"/>
  <c r="L71" i="8"/>
  <c r="P70" i="8"/>
  <c r="O70" i="8"/>
  <c r="O67" i="8"/>
  <c r="N67" i="8"/>
  <c r="M67" i="8"/>
  <c r="L67" i="8"/>
  <c r="J65" i="8"/>
  <c r="J64" i="8"/>
  <c r="N61" i="8"/>
  <c r="N59" i="8" s="1"/>
  <c r="M61" i="8"/>
  <c r="M59" i="8" s="1"/>
  <c r="P59" i="8" s="1"/>
  <c r="L61" i="8"/>
  <c r="O61" i="8" s="1"/>
  <c r="P60" i="8"/>
  <c r="O60" i="8"/>
  <c r="N58" i="8"/>
  <c r="M58" i="8"/>
  <c r="M56" i="8" s="1"/>
  <c r="L58" i="8"/>
  <c r="L56" i="8" s="1"/>
  <c r="P57" i="8"/>
  <c r="O57" i="8"/>
  <c r="P54" i="8"/>
  <c r="N54" i="8"/>
  <c r="M54" i="8"/>
  <c r="L54" i="8"/>
  <c r="O54" i="8" s="1"/>
  <c r="N49" i="8"/>
  <c r="M49" i="8"/>
  <c r="M47" i="8" s="1"/>
  <c r="P47" i="8" s="1"/>
  <c r="L49" i="8"/>
  <c r="O49" i="8" s="1"/>
  <c r="P48" i="8"/>
  <c r="O48" i="8"/>
  <c r="N46" i="8"/>
  <c r="M46" i="8"/>
  <c r="M44" i="8" s="1"/>
  <c r="L46" i="8"/>
  <c r="P45" i="8"/>
  <c r="O45" i="8"/>
  <c r="O42" i="8"/>
  <c r="N42" i="8"/>
  <c r="M42" i="8"/>
  <c r="L42" i="8"/>
  <c r="P36" i="8"/>
  <c r="N36" i="8"/>
  <c r="M36" i="8"/>
  <c r="N35" i="8"/>
  <c r="M35" i="8"/>
  <c r="P35" i="8" s="1"/>
  <c r="L35" i="8"/>
  <c r="N34" i="8"/>
  <c r="P32" i="8"/>
  <c r="O32" i="8"/>
  <c r="N32" i="8"/>
  <c r="N29" i="8" s="1"/>
  <c r="M32" i="8"/>
  <c r="L32" i="8"/>
  <c r="M29" i="8"/>
  <c r="P29" i="8" s="1"/>
  <c r="P25" i="8"/>
  <c r="N25" i="8"/>
  <c r="N15" i="8" s="1"/>
  <c r="M25" i="8"/>
  <c r="L25" i="8"/>
  <c r="N22" i="8"/>
  <c r="M22" i="8"/>
  <c r="P22" i="8" s="1"/>
  <c r="L22" i="8"/>
  <c r="N19" i="8"/>
  <c r="L19" i="8"/>
  <c r="M15" i="8"/>
  <c r="P15" i="8" s="1"/>
  <c r="L15" i="8"/>
  <c r="N12" i="8"/>
  <c r="N9" i="8" s="1"/>
  <c r="L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P809" i="7"/>
  <c r="O809" i="7"/>
  <c r="O808" i="7"/>
  <c r="N808" i="7"/>
  <c r="M808" i="7"/>
  <c r="P808" i="7" s="1"/>
  <c r="L808" i="7"/>
  <c r="N807" i="7"/>
  <c r="N805" i="7" s="1"/>
  <c r="M807" i="7"/>
  <c r="P807" i="7" s="1"/>
  <c r="L807" i="7"/>
  <c r="O807" i="7" s="1"/>
  <c r="N806" i="7"/>
  <c r="M806" i="7"/>
  <c r="L806" i="7"/>
  <c r="O806" i="7" s="1"/>
  <c r="L805" i="7"/>
  <c r="O805" i="7" s="1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N796" i="7"/>
  <c r="M796" i="7"/>
  <c r="P796" i="7" s="1"/>
  <c r="L796" i="7"/>
  <c r="O796" i="7" s="1"/>
  <c r="N795" i="7"/>
  <c r="N791" i="7" s="1"/>
  <c r="N788" i="7" s="1"/>
  <c r="L791" i="7"/>
  <c r="L788" i="7" s="1"/>
  <c r="P790" i="7"/>
  <c r="O790" i="7"/>
  <c r="P787" i="7"/>
  <c r="N787" i="7"/>
  <c r="M787" i="7"/>
  <c r="L787" i="7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O773" i="7"/>
  <c r="N773" i="7"/>
  <c r="M773" i="7"/>
  <c r="P773" i="7" s="1"/>
  <c r="L773" i="7"/>
  <c r="N772" i="7"/>
  <c r="N770" i="7" s="1"/>
  <c r="M772" i="7"/>
  <c r="P772" i="7" s="1"/>
  <c r="L772" i="7"/>
  <c r="O772" i="7" s="1"/>
  <c r="N771" i="7"/>
  <c r="M771" i="7"/>
  <c r="L771" i="7"/>
  <c r="O771" i="7" s="1"/>
  <c r="L770" i="7"/>
  <c r="O770" i="7" s="1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O757" i="7"/>
  <c r="N757" i="7"/>
  <c r="M757" i="7"/>
  <c r="P757" i="7" s="1"/>
  <c r="L757" i="7"/>
  <c r="N756" i="7"/>
  <c r="N754" i="7" s="1"/>
  <c r="M756" i="7"/>
  <c r="P756" i="7" s="1"/>
  <c r="L756" i="7"/>
  <c r="O756" i="7" s="1"/>
  <c r="N755" i="7"/>
  <c r="M755" i="7"/>
  <c r="L755" i="7"/>
  <c r="O755" i="7" s="1"/>
  <c r="L754" i="7"/>
  <c r="O754" i="7" s="1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O740" i="7"/>
  <c r="N740" i="7"/>
  <c r="M740" i="7"/>
  <c r="P740" i="7" s="1"/>
  <c r="L740" i="7"/>
  <c r="N739" i="7"/>
  <c r="N737" i="7" s="1"/>
  <c r="M739" i="7"/>
  <c r="P739" i="7" s="1"/>
  <c r="L739" i="7"/>
  <c r="O739" i="7" s="1"/>
  <c r="N738" i="7"/>
  <c r="M738" i="7"/>
  <c r="L738" i="7"/>
  <c r="O738" i="7" s="1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N687" i="7" s="1"/>
  <c r="L690" i="7"/>
  <c r="O690" i="7" s="1"/>
  <c r="N688" i="7"/>
  <c r="M688" i="7"/>
  <c r="P688" i="7" s="1"/>
  <c r="M687" i="7"/>
  <c r="P686" i="7"/>
  <c r="N686" i="7"/>
  <c r="N685" i="7" s="1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O660" i="7" s="1"/>
  <c r="P659" i="7"/>
  <c r="O659" i="7"/>
  <c r="P658" i="7"/>
  <c r="N658" i="7"/>
  <c r="M658" i="7"/>
  <c r="P657" i="7"/>
  <c r="N657" i="7"/>
  <c r="M657" i="7"/>
  <c r="O656" i="7"/>
  <c r="N656" i="7"/>
  <c r="N655" i="7" s="1"/>
  <c r="M656" i="7"/>
  <c r="P656" i="7" s="1"/>
  <c r="L656" i="7"/>
  <c r="M655" i="7"/>
  <c r="P655" i="7" s="1"/>
  <c r="J654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8" i="7"/>
  <c r="N637" i="7"/>
  <c r="N634" i="7" s="1"/>
  <c r="N636" i="7"/>
  <c r="L634" i="7"/>
  <c r="M634" i="7" s="1"/>
  <c r="P633" i="7"/>
  <c r="O633" i="7"/>
  <c r="O630" i="7"/>
  <c r="N630" i="7"/>
  <c r="M630" i="7"/>
  <c r="P630" i="7" s="1"/>
  <c r="L630" i="7"/>
  <c r="J621" i="7"/>
  <c r="I621" i="7"/>
  <c r="K621" i="7" s="1"/>
  <c r="J620" i="7"/>
  <c r="I620" i="7"/>
  <c r="K613" i="7"/>
  <c r="J613" i="7"/>
  <c r="K612" i="7"/>
  <c r="J612" i="7"/>
  <c r="K611" i="7"/>
  <c r="J611" i="7"/>
  <c r="J604" i="7"/>
  <c r="J603" i="7"/>
  <c r="J593" i="7" s="1"/>
  <c r="J596" i="7"/>
  <c r="J595" i="7"/>
  <c r="I594" i="7"/>
  <c r="I593" i="7"/>
  <c r="I592" i="7" s="1"/>
  <c r="J583" i="7"/>
  <c r="J577" i="7" s="1"/>
  <c r="J582" i="7"/>
  <c r="I577" i="7"/>
  <c r="J576" i="7"/>
  <c r="I576" i="7"/>
  <c r="I559" i="7" s="1"/>
  <c r="J569" i="7"/>
  <c r="I569" i="7"/>
  <c r="J568" i="7"/>
  <c r="I568" i="7"/>
  <c r="K568" i="7" s="1"/>
  <c r="J561" i="7"/>
  <c r="I561" i="7"/>
  <c r="J560" i="7"/>
  <c r="I560" i="7"/>
  <c r="K560" i="7" s="1"/>
  <c r="P557" i="7"/>
  <c r="L557" i="7"/>
  <c r="L555" i="7" s="1"/>
  <c r="O555" i="7" s="1"/>
  <c r="P556" i="7"/>
  <c r="O556" i="7"/>
  <c r="N555" i="7"/>
  <c r="N545" i="7" s="1"/>
  <c r="M555" i="7"/>
  <c r="P555" i="7" s="1"/>
  <c r="N553" i="7"/>
  <c r="N552" i="7"/>
  <c r="N551" i="7"/>
  <c r="N549" i="7" s="1"/>
  <c r="L549" i="7"/>
  <c r="L547" i="7" s="1"/>
  <c r="P548" i="7"/>
  <c r="O548" i="7"/>
  <c r="P545" i="7"/>
  <c r="O545" i="7"/>
  <c r="M545" i="7"/>
  <c r="L545" i="7"/>
  <c r="I542" i="7"/>
  <c r="K542" i="7" s="1"/>
  <c r="I541" i="7"/>
  <c r="K541" i="7" s="1"/>
  <c r="I540" i="7"/>
  <c r="I539" i="7"/>
  <c r="K539" i="7" s="1"/>
  <c r="I538" i="7"/>
  <c r="K538" i="7" s="1"/>
  <c r="I537" i="7"/>
  <c r="P535" i="7"/>
  <c r="L535" i="7"/>
  <c r="O535" i="7" s="1"/>
  <c r="P534" i="7"/>
  <c r="O534" i="7"/>
  <c r="P533" i="7"/>
  <c r="N533" i="7"/>
  <c r="M533" i="7"/>
  <c r="P528" i="7"/>
  <c r="N528" i="7"/>
  <c r="L528" i="7"/>
  <c r="O528" i="7" s="1"/>
  <c r="P527" i="7"/>
  <c r="O527" i="7"/>
  <c r="P526" i="7"/>
  <c r="N526" i="7"/>
  <c r="M526" i="7"/>
  <c r="P525" i="7"/>
  <c r="N525" i="7"/>
  <c r="M525" i="7"/>
  <c r="O524" i="7"/>
  <c r="N524" i="7"/>
  <c r="M524" i="7"/>
  <c r="L524" i="7"/>
  <c r="K517" i="7"/>
  <c r="J517" i="7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P506" i="7"/>
  <c r="O506" i="7"/>
  <c r="O505" i="7"/>
  <c r="M505" i="7"/>
  <c r="P505" i="7" s="1"/>
  <c r="L505" i="7"/>
  <c r="M504" i="7"/>
  <c r="P504" i="7" s="1"/>
  <c r="L504" i="7"/>
  <c r="O504" i="7" s="1"/>
  <c r="N503" i="7"/>
  <c r="M503" i="7"/>
  <c r="P503" i="7" s="1"/>
  <c r="L503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P477" i="7"/>
  <c r="N477" i="7"/>
  <c r="M477" i="7"/>
  <c r="N475" i="7"/>
  <c r="N472" i="7"/>
  <c r="L472" i="7"/>
  <c r="L470" i="7" s="1"/>
  <c r="P471" i="7"/>
  <c r="O471" i="7"/>
  <c r="N469" i="7"/>
  <c r="O468" i="7"/>
  <c r="N468" i="7"/>
  <c r="M468" i="7"/>
  <c r="P468" i="7" s="1"/>
  <c r="L468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43" i="7" s="1"/>
  <c r="K443" i="7" s="1"/>
  <c r="I460" i="7"/>
  <c r="K460" i="7" s="1"/>
  <c r="K458" i="7"/>
  <c r="P456" i="7"/>
  <c r="L456" i="7"/>
  <c r="O456" i="7" s="1"/>
  <c r="P455" i="7"/>
  <c r="O455" i="7"/>
  <c r="N454" i="7"/>
  <c r="M454" i="7"/>
  <c r="P454" i="7" s="1"/>
  <c r="N452" i="7"/>
  <c r="N449" i="7"/>
  <c r="L449" i="7"/>
  <c r="L447" i="7" s="1"/>
  <c r="O447" i="7" s="1"/>
  <c r="P448" i="7"/>
  <c r="O448" i="7"/>
  <c r="N447" i="7"/>
  <c r="N446" i="7"/>
  <c r="N445" i="7"/>
  <c r="M445" i="7"/>
  <c r="L445" i="7"/>
  <c r="O445" i="7" s="1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I433" i="7" s="1"/>
  <c r="I417" i="7" s="1"/>
  <c r="J434" i="7"/>
  <c r="P431" i="7"/>
  <c r="L431" i="7"/>
  <c r="O431" i="7" s="1"/>
  <c r="P430" i="7"/>
  <c r="O430" i="7"/>
  <c r="P429" i="7"/>
  <c r="N429" i="7"/>
  <c r="M429" i="7"/>
  <c r="N424" i="7"/>
  <c r="N422" i="7" s="1"/>
  <c r="L424" i="7"/>
  <c r="M424" i="7" s="1"/>
  <c r="P423" i="7"/>
  <c r="O423" i="7"/>
  <c r="N421" i="7"/>
  <c r="O420" i="7"/>
  <c r="N420" i="7"/>
  <c r="N419" i="7" s="1"/>
  <c r="M420" i="7"/>
  <c r="P420" i="7" s="1"/>
  <c r="L420" i="7"/>
  <c r="J418" i="7"/>
  <c r="K413" i="7"/>
  <c r="K412" i="7"/>
  <c r="N410" i="7"/>
  <c r="N408" i="7" s="1"/>
  <c r="M410" i="7"/>
  <c r="M408" i="7" s="1"/>
  <c r="P408" i="7" s="1"/>
  <c r="L410" i="7"/>
  <c r="P409" i="7"/>
  <c r="O409" i="7"/>
  <c r="N407" i="7"/>
  <c r="M407" i="7"/>
  <c r="L407" i="7"/>
  <c r="P406" i="7"/>
  <c r="O406" i="7"/>
  <c r="N403" i="7"/>
  <c r="M403" i="7"/>
  <c r="P403" i="7" s="1"/>
  <c r="L403" i="7"/>
  <c r="K401" i="7"/>
  <c r="J401" i="7"/>
  <c r="I401" i="7"/>
  <c r="K400" i="7"/>
  <c r="K399" i="7"/>
  <c r="N397" i="7"/>
  <c r="M397" i="7"/>
  <c r="M395" i="7" s="1"/>
  <c r="P395" i="7" s="1"/>
  <c r="L397" i="7"/>
  <c r="L395" i="7" s="1"/>
  <c r="O395" i="7" s="1"/>
  <c r="P396" i="7"/>
  <c r="O396" i="7"/>
  <c r="N394" i="7"/>
  <c r="N392" i="7" s="1"/>
  <c r="M394" i="7"/>
  <c r="L394" i="7"/>
  <c r="L392" i="7" s="1"/>
  <c r="O392" i="7" s="1"/>
  <c r="P393" i="7"/>
  <c r="O393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P352" i="7"/>
  <c r="O352" i="7"/>
  <c r="N350" i="7"/>
  <c r="M350" i="7"/>
  <c r="L350" i="7"/>
  <c r="L348" i="7" s="1"/>
  <c r="P349" i="7"/>
  <c r="O349" i="7"/>
  <c r="O346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P335" i="7"/>
  <c r="O335" i="7"/>
  <c r="N333" i="7"/>
  <c r="M333" i="7"/>
  <c r="M331" i="7" s="1"/>
  <c r="L333" i="7"/>
  <c r="L331" i="7" s="1"/>
  <c r="P332" i="7"/>
  <c r="O332" i="7"/>
  <c r="N329" i="7"/>
  <c r="M329" i="7"/>
  <c r="P329" i="7" s="1"/>
  <c r="L329" i="7"/>
  <c r="O329" i="7" s="1"/>
  <c r="I327" i="7"/>
  <c r="I325" i="7"/>
  <c r="K325" i="7" s="1"/>
  <c r="N323" i="7"/>
  <c r="N321" i="7" s="1"/>
  <c r="M323" i="7"/>
  <c r="P323" i="7" s="1"/>
  <c r="L323" i="7"/>
  <c r="L321" i="7" s="1"/>
  <c r="O321" i="7" s="1"/>
  <c r="P322" i="7"/>
  <c r="O322" i="7"/>
  <c r="N320" i="7"/>
  <c r="N318" i="7" s="1"/>
  <c r="M320" i="7"/>
  <c r="P320" i="7" s="1"/>
  <c r="L320" i="7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P305" i="7"/>
  <c r="O305" i="7"/>
  <c r="N303" i="7"/>
  <c r="N301" i="7" s="1"/>
  <c r="M303" i="7"/>
  <c r="P303" i="7" s="1"/>
  <c r="L303" i="7"/>
  <c r="O303" i="7" s="1"/>
  <c r="P302" i="7"/>
  <c r="O302" i="7"/>
  <c r="N299" i="7"/>
  <c r="M299" i="7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N285" i="7"/>
  <c r="N283" i="7" s="1"/>
  <c r="M285" i="7"/>
  <c r="P285" i="7" s="1"/>
  <c r="L285" i="7"/>
  <c r="L283" i="7" s="1"/>
  <c r="O283" i="7" s="1"/>
  <c r="P284" i="7"/>
  <c r="O284" i="7"/>
  <c r="N282" i="7"/>
  <c r="N280" i="7" s="1"/>
  <c r="M282" i="7"/>
  <c r="M280" i="7" s="1"/>
  <c r="L282" i="7"/>
  <c r="L280" i="7" s="1"/>
  <c r="P281" i="7"/>
  <c r="O281" i="7"/>
  <c r="N278" i="7"/>
  <c r="M278" i="7"/>
  <c r="P278" i="7" s="1"/>
  <c r="L278" i="7"/>
  <c r="O278" i="7" s="1"/>
  <c r="J276" i="7"/>
  <c r="I271" i="7"/>
  <c r="K271" i="7" s="1"/>
  <c r="N269" i="7"/>
  <c r="N267" i="7" s="1"/>
  <c r="M269" i="7"/>
  <c r="L269" i="7"/>
  <c r="O269" i="7" s="1"/>
  <c r="P268" i="7"/>
  <c r="O268" i="7"/>
  <c r="N266" i="7"/>
  <c r="M266" i="7"/>
  <c r="L266" i="7"/>
  <c r="L264" i="7" s="1"/>
  <c r="P265" i="7"/>
  <c r="O265" i="7"/>
  <c r="N262" i="7"/>
  <c r="M262" i="7"/>
  <c r="L262" i="7"/>
  <c r="O262" i="7" s="1"/>
  <c r="J260" i="7"/>
  <c r="K258" i="7"/>
  <c r="K257" i="7"/>
  <c r="I255" i="7"/>
  <c r="I248" i="7" s="1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N227" i="7"/>
  <c r="J226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N184" i="7" s="1"/>
  <c r="M186" i="7"/>
  <c r="L186" i="7"/>
  <c r="L184" i="7" s="1"/>
  <c r="P185" i="7"/>
  <c r="O185" i="7"/>
  <c r="P182" i="7"/>
  <c r="O182" i="7"/>
  <c r="N182" i="7"/>
  <c r="M182" i="7"/>
  <c r="L182" i="7"/>
  <c r="J180" i="7"/>
  <c r="J177" i="7"/>
  <c r="I176" i="7"/>
  <c r="J174" i="7"/>
  <c r="N173" i="7"/>
  <c r="N171" i="7" s="1"/>
  <c r="M173" i="7"/>
  <c r="P173" i="7" s="1"/>
  <c r="L173" i="7"/>
  <c r="O173" i="7" s="1"/>
  <c r="P172" i="7"/>
  <c r="O172" i="7"/>
  <c r="N170" i="7"/>
  <c r="N168" i="7" s="1"/>
  <c r="M170" i="7"/>
  <c r="M168" i="7" s="1"/>
  <c r="L170" i="7"/>
  <c r="P169" i="7"/>
  <c r="O169" i="7"/>
  <c r="P166" i="7"/>
  <c r="O166" i="7"/>
  <c r="N166" i="7"/>
  <c r="M166" i="7"/>
  <c r="L166" i="7"/>
  <c r="J164" i="7"/>
  <c r="I159" i="7"/>
  <c r="K159" i="7" s="1"/>
  <c r="N157" i="7"/>
  <c r="N155" i="7" s="1"/>
  <c r="M157" i="7"/>
  <c r="L157" i="7"/>
  <c r="O157" i="7" s="1"/>
  <c r="P156" i="7"/>
  <c r="O156" i="7"/>
  <c r="N154" i="7"/>
  <c r="M154" i="7"/>
  <c r="L154" i="7"/>
  <c r="L152" i="7" s="1"/>
  <c r="P153" i="7"/>
  <c r="O153" i="7"/>
  <c r="N150" i="7"/>
  <c r="M150" i="7"/>
  <c r="L150" i="7"/>
  <c r="O150" i="7" s="1"/>
  <c r="J148" i="7"/>
  <c r="I146" i="7"/>
  <c r="K146" i="7" s="1"/>
  <c r="I145" i="7"/>
  <c r="I144" i="7"/>
  <c r="K144" i="7" s="1"/>
  <c r="N140" i="7"/>
  <c r="N138" i="7" s="1"/>
  <c r="M140" i="7"/>
  <c r="M138" i="7" s="1"/>
  <c r="P138" i="7" s="1"/>
  <c r="L140" i="7"/>
  <c r="P139" i="7"/>
  <c r="O139" i="7"/>
  <c r="N137" i="7"/>
  <c r="N135" i="7" s="1"/>
  <c r="M137" i="7"/>
  <c r="M135" i="7" s="1"/>
  <c r="P135" i="7" s="1"/>
  <c r="L137" i="7"/>
  <c r="O137" i="7" s="1"/>
  <c r="P136" i="7"/>
  <c r="O136" i="7"/>
  <c r="P133" i="7"/>
  <c r="O133" i="7"/>
  <c r="N133" i="7"/>
  <c r="M133" i="7"/>
  <c r="L133" i="7"/>
  <c r="J130" i="7"/>
  <c r="N127" i="7"/>
  <c r="N125" i="7" s="1"/>
  <c r="M127" i="7"/>
  <c r="L127" i="7"/>
  <c r="O127" i="7" s="1"/>
  <c r="P126" i="7"/>
  <c r="O126" i="7"/>
  <c r="N124" i="7"/>
  <c r="M124" i="7"/>
  <c r="L124" i="7"/>
  <c r="O124" i="7" s="1"/>
  <c r="P123" i="7"/>
  <c r="O123" i="7"/>
  <c r="N120" i="7"/>
  <c r="M120" i="7"/>
  <c r="L120" i="7"/>
  <c r="O120" i="7" s="1"/>
  <c r="I116" i="7"/>
  <c r="K116" i="7" s="1"/>
  <c r="I115" i="7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K87" i="7" s="1"/>
  <c r="J98" i="7"/>
  <c r="J86" i="7" s="1"/>
  <c r="I98" i="7"/>
  <c r="N96" i="7"/>
  <c r="N94" i="7" s="1"/>
  <c r="M96" i="7"/>
  <c r="P96" i="7" s="1"/>
  <c r="L96" i="7"/>
  <c r="L94" i="7" s="1"/>
  <c r="O94" i="7" s="1"/>
  <c r="P95" i="7"/>
  <c r="O95" i="7"/>
  <c r="N93" i="7"/>
  <c r="N91" i="7" s="1"/>
  <c r="M93" i="7"/>
  <c r="L93" i="7"/>
  <c r="P92" i="7"/>
  <c r="O92" i="7"/>
  <c r="P89" i="7"/>
  <c r="O89" i="7"/>
  <c r="N89" i="7"/>
  <c r="M89" i="7"/>
  <c r="L89" i="7"/>
  <c r="J87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M72" i="7" s="1"/>
  <c r="P72" i="7" s="1"/>
  <c r="L74" i="7"/>
  <c r="O74" i="7" s="1"/>
  <c r="P73" i="7"/>
  <c r="O73" i="7"/>
  <c r="N71" i="7"/>
  <c r="M71" i="7"/>
  <c r="M69" i="7" s="1"/>
  <c r="P69" i="7" s="1"/>
  <c r="L71" i="7"/>
  <c r="P70" i="7"/>
  <c r="O70" i="7"/>
  <c r="P67" i="7"/>
  <c r="O67" i="7"/>
  <c r="N67" i="7"/>
  <c r="M67" i="7"/>
  <c r="L67" i="7"/>
  <c r="J64" i="7"/>
  <c r="N61" i="7"/>
  <c r="N59" i="7" s="1"/>
  <c r="M61" i="7"/>
  <c r="L61" i="7"/>
  <c r="L59" i="7" s="1"/>
  <c r="P60" i="7"/>
  <c r="O60" i="7"/>
  <c r="N58" i="7"/>
  <c r="N56" i="7" s="1"/>
  <c r="M58" i="7"/>
  <c r="L58" i="7"/>
  <c r="P57" i="7"/>
  <c r="O57" i="7"/>
  <c r="N54" i="7"/>
  <c r="M54" i="7"/>
  <c r="L54" i="7"/>
  <c r="O54" i="7" s="1"/>
  <c r="N49" i="7"/>
  <c r="N47" i="7" s="1"/>
  <c r="M49" i="7"/>
  <c r="L49" i="7"/>
  <c r="O49" i="7" s="1"/>
  <c r="P48" i="7"/>
  <c r="O48" i="7"/>
  <c r="N46" i="7"/>
  <c r="M46" i="7"/>
  <c r="M44" i="7" s="1"/>
  <c r="L46" i="7"/>
  <c r="P45" i="7"/>
  <c r="O45" i="7"/>
  <c r="P42" i="7"/>
  <c r="O42" i="7"/>
  <c r="N42" i="7"/>
  <c r="M42" i="7"/>
  <c r="L42" i="7"/>
  <c r="N36" i="7"/>
  <c r="M36" i="7"/>
  <c r="P35" i="7"/>
  <c r="N35" i="7"/>
  <c r="M35" i="7"/>
  <c r="L35" i="7"/>
  <c r="N34" i="7"/>
  <c r="O32" i="7"/>
  <c r="N32" i="7"/>
  <c r="N29" i="7" s="1"/>
  <c r="M32" i="7"/>
  <c r="P32" i="7" s="1"/>
  <c r="L32" i="7"/>
  <c r="L29" i="7"/>
  <c r="O25" i="7"/>
  <c r="N25" i="7"/>
  <c r="M25" i="7"/>
  <c r="L25" i="7"/>
  <c r="P22" i="7"/>
  <c r="O22" i="7"/>
  <c r="N22" i="7"/>
  <c r="M22" i="7"/>
  <c r="L22" i="7"/>
  <c r="L12" i="7" s="1"/>
  <c r="O19" i="7"/>
  <c r="N19" i="7"/>
  <c r="L19" i="7"/>
  <c r="O15" i="7"/>
  <c r="N15" i="7"/>
  <c r="L15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N791" i="6"/>
  <c r="L791" i="6"/>
  <c r="P790" i="6"/>
  <c r="O790" i="6"/>
  <c r="N789" i="6"/>
  <c r="N788" i="6"/>
  <c r="P787" i="6"/>
  <c r="N787" i="6"/>
  <c r="N786" i="6" s="1"/>
  <c r="M787" i="6"/>
  <c r="L787" i="6"/>
  <c r="O787" i="6" s="1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O773" i="6"/>
  <c r="M773" i="6"/>
  <c r="P773" i="6" s="1"/>
  <c r="L773" i="6"/>
  <c r="P772" i="6"/>
  <c r="M772" i="6"/>
  <c r="L772" i="6"/>
  <c r="O771" i="6"/>
  <c r="N771" i="6"/>
  <c r="M771" i="6"/>
  <c r="P771" i="6" s="1"/>
  <c r="L771" i="6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O757" i="6"/>
  <c r="M757" i="6"/>
  <c r="P757" i="6" s="1"/>
  <c r="L757" i="6"/>
  <c r="P756" i="6"/>
  <c r="M756" i="6"/>
  <c r="L756" i="6"/>
  <c r="O755" i="6"/>
  <c r="N755" i="6"/>
  <c r="M755" i="6"/>
  <c r="P755" i="6" s="1"/>
  <c r="L755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O740" i="6"/>
  <c r="M740" i="6"/>
  <c r="P740" i="6" s="1"/>
  <c r="L740" i="6"/>
  <c r="P739" i="6"/>
  <c r="M739" i="6"/>
  <c r="L739" i="6"/>
  <c r="O738" i="6"/>
  <c r="N738" i="6"/>
  <c r="M738" i="6"/>
  <c r="P738" i="6" s="1"/>
  <c r="L738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0" i="6"/>
  <c r="L690" i="6"/>
  <c r="M690" i="6" s="1"/>
  <c r="M688" i="6" s="1"/>
  <c r="O686" i="6"/>
  <c r="N686" i="6"/>
  <c r="M686" i="6"/>
  <c r="P686" i="6" s="1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O660" i="6" s="1"/>
  <c r="P659" i="6"/>
  <c r="O659" i="6"/>
  <c r="N657" i="6"/>
  <c r="O656" i="6"/>
  <c r="N656" i="6"/>
  <c r="M656" i="6"/>
  <c r="L656" i="6"/>
  <c r="N655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L639" i="6"/>
  <c r="O639" i="6" s="1"/>
  <c r="N634" i="6"/>
  <c r="L634" i="6"/>
  <c r="P633" i="6"/>
  <c r="O633" i="6"/>
  <c r="N632" i="6"/>
  <c r="N631" i="6"/>
  <c r="P630" i="6"/>
  <c r="N630" i="6"/>
  <c r="N629" i="6" s="1"/>
  <c r="M630" i="6"/>
  <c r="L630" i="6"/>
  <c r="J621" i="6"/>
  <c r="I621" i="6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J583" i="6"/>
  <c r="J577" i="6" s="1"/>
  <c r="J582" i="6"/>
  <c r="I577" i="6"/>
  <c r="J576" i="6"/>
  <c r="J559" i="6" s="1"/>
  <c r="J543" i="6" s="1"/>
  <c r="I576" i="6"/>
  <c r="I559" i="6" s="1"/>
  <c r="J569" i="6"/>
  <c r="I569" i="6"/>
  <c r="K569" i="6" s="1"/>
  <c r="J568" i="6"/>
  <c r="I568" i="6"/>
  <c r="J561" i="6"/>
  <c r="I561" i="6"/>
  <c r="K561" i="6" s="1"/>
  <c r="J560" i="6"/>
  <c r="I560" i="6"/>
  <c r="P557" i="6"/>
  <c r="L557" i="6"/>
  <c r="O557" i="6" s="1"/>
  <c r="P556" i="6"/>
  <c r="O556" i="6"/>
  <c r="P555" i="6"/>
  <c r="N555" i="6"/>
  <c r="N545" i="6" s="1"/>
  <c r="N544" i="6" s="1"/>
  <c r="M555" i="6"/>
  <c r="N549" i="6"/>
  <c r="L549" i="6"/>
  <c r="O549" i="6" s="1"/>
  <c r="P548" i="6"/>
  <c r="O548" i="6"/>
  <c r="N547" i="6"/>
  <c r="N546" i="6"/>
  <c r="P545" i="6"/>
  <c r="M545" i="6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P535" i="6"/>
  <c r="L535" i="6"/>
  <c r="O535" i="6" s="1"/>
  <c r="P534" i="6"/>
  <c r="O534" i="6"/>
  <c r="N533" i="6"/>
  <c r="M533" i="6"/>
  <c r="P533" i="6" s="1"/>
  <c r="N528" i="6"/>
  <c r="N526" i="6" s="1"/>
  <c r="L528" i="6"/>
  <c r="O528" i="6" s="1"/>
  <c r="P527" i="6"/>
  <c r="O527" i="6"/>
  <c r="N525" i="6"/>
  <c r="O524" i="6"/>
  <c r="N524" i="6"/>
  <c r="M524" i="6"/>
  <c r="L524" i="6"/>
  <c r="N523" i="6"/>
  <c r="K517" i="6"/>
  <c r="J517" i="6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N505" i="6" s="1"/>
  <c r="P506" i="6"/>
  <c r="O506" i="6"/>
  <c r="O505" i="6"/>
  <c r="M505" i="6"/>
  <c r="P505" i="6" s="1"/>
  <c r="L505" i="6"/>
  <c r="P504" i="6"/>
  <c r="N504" i="6"/>
  <c r="N502" i="6" s="1"/>
  <c r="M504" i="6"/>
  <c r="L504" i="6"/>
  <c r="O504" i="6" s="1"/>
  <c r="O503" i="6"/>
  <c r="N503" i="6"/>
  <c r="M503" i="6"/>
  <c r="L503" i="6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2" i="6"/>
  <c r="L472" i="6"/>
  <c r="P471" i="6"/>
  <c r="O471" i="6"/>
  <c r="N470" i="6"/>
  <c r="N469" i="6"/>
  <c r="P468" i="6"/>
  <c r="N468" i="6"/>
  <c r="N467" i="6" s="1"/>
  <c r="M468" i="6"/>
  <c r="L468" i="6"/>
  <c r="J466" i="6"/>
  <c r="I466" i="6"/>
  <c r="K466" i="6" s="1"/>
  <c r="J465" i="6"/>
  <c r="I465" i="6"/>
  <c r="K465" i="6" s="1"/>
  <c r="I464" i="6"/>
  <c r="K464" i="6" s="1"/>
  <c r="I463" i="6"/>
  <c r="K463" i="6" s="1"/>
  <c r="I462" i="6"/>
  <c r="K462" i="6" s="1"/>
  <c r="I460" i="6"/>
  <c r="I442" i="6" s="1"/>
  <c r="K442" i="6" s="1"/>
  <c r="K458" i="6"/>
  <c r="P456" i="6"/>
  <c r="L456" i="6"/>
  <c r="O456" i="6" s="1"/>
  <c r="P455" i="6"/>
  <c r="O455" i="6"/>
  <c r="P454" i="6"/>
  <c r="N454" i="6"/>
  <c r="M454" i="6"/>
  <c r="L454" i="6"/>
  <c r="O454" i="6" s="1"/>
  <c r="N449" i="6"/>
  <c r="L449" i="6"/>
  <c r="M449" i="6" s="1"/>
  <c r="M446" i="6" s="1"/>
  <c r="P448" i="6"/>
  <c r="O448" i="6"/>
  <c r="N447" i="6"/>
  <c r="N446" i="6"/>
  <c r="P445" i="6"/>
  <c r="N445" i="6"/>
  <c r="N444" i="6" s="1"/>
  <c r="M445" i="6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J434" i="6"/>
  <c r="P431" i="6"/>
  <c r="L431" i="6"/>
  <c r="O431" i="6" s="1"/>
  <c r="P430" i="6"/>
  <c r="O430" i="6"/>
  <c r="N429" i="6"/>
  <c r="M429" i="6"/>
  <c r="P429" i="6" s="1"/>
  <c r="N424" i="6"/>
  <c r="N422" i="6" s="1"/>
  <c r="L424" i="6"/>
  <c r="M424" i="6" s="1"/>
  <c r="P423" i="6"/>
  <c r="O423" i="6"/>
  <c r="N421" i="6"/>
  <c r="N419" i="6" s="1"/>
  <c r="O420" i="6"/>
  <c r="N420" i="6"/>
  <c r="M420" i="6"/>
  <c r="L420" i="6"/>
  <c r="J418" i="6"/>
  <c r="K413" i="6"/>
  <c r="K412" i="6"/>
  <c r="N410" i="6"/>
  <c r="M410" i="6"/>
  <c r="P410" i="6" s="1"/>
  <c r="L410" i="6"/>
  <c r="P409" i="6"/>
  <c r="O409" i="6"/>
  <c r="N407" i="6"/>
  <c r="N405" i="6" s="1"/>
  <c r="M407" i="6"/>
  <c r="P407" i="6" s="1"/>
  <c r="L407" i="6"/>
  <c r="P406" i="6"/>
  <c r="O406" i="6"/>
  <c r="O403" i="6"/>
  <c r="N403" i="6"/>
  <c r="M403" i="6"/>
  <c r="L403" i="6"/>
  <c r="J401" i="6"/>
  <c r="I401" i="6"/>
  <c r="K401" i="6" s="1"/>
  <c r="K400" i="6"/>
  <c r="K399" i="6"/>
  <c r="N397" i="6"/>
  <c r="M397" i="6"/>
  <c r="L397" i="6"/>
  <c r="L395" i="6" s="1"/>
  <c r="O395" i="6" s="1"/>
  <c r="P396" i="6"/>
  <c r="O396" i="6"/>
  <c r="N394" i="6"/>
  <c r="N392" i="6" s="1"/>
  <c r="M394" i="6"/>
  <c r="P394" i="6" s="1"/>
  <c r="L394" i="6"/>
  <c r="P393" i="6"/>
  <c r="O393" i="6"/>
  <c r="O390" i="6"/>
  <c r="N390" i="6"/>
  <c r="M390" i="6"/>
  <c r="L390" i="6"/>
  <c r="J388" i="6"/>
  <c r="I388" i="6"/>
  <c r="K388" i="6" s="1"/>
  <c r="J385" i="6"/>
  <c r="I385" i="6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L351" i="6" s="1"/>
  <c r="P352" i="6"/>
  <c r="O352" i="6"/>
  <c r="N350" i="6"/>
  <c r="N348" i="6" s="1"/>
  <c r="M350" i="6"/>
  <c r="L350" i="6"/>
  <c r="L348" i="6" s="1"/>
  <c r="P349" i="6"/>
  <c r="O349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M331" i="6" s="1"/>
  <c r="L333" i="6"/>
  <c r="P332" i="6"/>
  <c r="O332" i="6"/>
  <c r="O329" i="6"/>
  <c r="N329" i="6"/>
  <c r="M329" i="6"/>
  <c r="L329" i="6"/>
  <c r="I327" i="6"/>
  <c r="I325" i="6"/>
  <c r="K325" i="6" s="1"/>
  <c r="N323" i="6"/>
  <c r="N321" i="6" s="1"/>
  <c r="M323" i="6"/>
  <c r="P323" i="6" s="1"/>
  <c r="L323" i="6"/>
  <c r="O323" i="6" s="1"/>
  <c r="P322" i="6"/>
  <c r="O322" i="6"/>
  <c r="N320" i="6"/>
  <c r="M320" i="6"/>
  <c r="L320" i="6"/>
  <c r="P319" i="6"/>
  <c r="O319" i="6"/>
  <c r="P316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L306" i="6"/>
  <c r="O306" i="6" s="1"/>
  <c r="P305" i="6"/>
  <c r="O305" i="6"/>
  <c r="N303" i="6"/>
  <c r="M303" i="6"/>
  <c r="L303" i="6"/>
  <c r="P302" i="6"/>
  <c r="O302" i="6"/>
  <c r="P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N285" i="6"/>
  <c r="N283" i="6" s="1"/>
  <c r="M285" i="6"/>
  <c r="P285" i="6" s="1"/>
  <c r="L285" i="6"/>
  <c r="L283" i="6" s="1"/>
  <c r="O283" i="6" s="1"/>
  <c r="P284" i="6"/>
  <c r="O284" i="6"/>
  <c r="N282" i="6"/>
  <c r="M282" i="6"/>
  <c r="M280" i="6" s="1"/>
  <c r="L282" i="6"/>
  <c r="L280" i="6" s="1"/>
  <c r="P281" i="6"/>
  <c r="O281" i="6"/>
  <c r="O278" i="6"/>
  <c r="N278" i="6"/>
  <c r="M278" i="6"/>
  <c r="L278" i="6"/>
  <c r="J276" i="6"/>
  <c r="I271" i="6"/>
  <c r="K271" i="6" s="1"/>
  <c r="N269" i="6"/>
  <c r="N267" i="6" s="1"/>
  <c r="M269" i="6"/>
  <c r="L269" i="6"/>
  <c r="O269" i="6" s="1"/>
  <c r="P268" i="6"/>
  <c r="O268" i="6"/>
  <c r="N266" i="6"/>
  <c r="M266" i="6"/>
  <c r="L266" i="6"/>
  <c r="P265" i="6"/>
  <c r="O265" i="6"/>
  <c r="P262" i="6"/>
  <c r="N262" i="6"/>
  <c r="M262" i="6"/>
  <c r="L262" i="6"/>
  <c r="J260" i="6"/>
  <c r="K258" i="6"/>
  <c r="K257" i="6"/>
  <c r="I255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J226" i="6" s="1"/>
  <c r="J180" i="6" s="1"/>
  <c r="K236" i="6"/>
  <c r="J236" i="6"/>
  <c r="I236" i="6"/>
  <c r="K235" i="6"/>
  <c r="J235" i="6"/>
  <c r="I235" i="6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M189" i="6"/>
  <c r="P189" i="6" s="1"/>
  <c r="L189" i="6"/>
  <c r="O189" i="6" s="1"/>
  <c r="P188" i="6"/>
  <c r="O188" i="6"/>
  <c r="N186" i="6"/>
  <c r="M186" i="6"/>
  <c r="L186" i="6"/>
  <c r="L184" i="6" s="1"/>
  <c r="P185" i="6"/>
  <c r="O185" i="6"/>
  <c r="P182" i="6"/>
  <c r="N182" i="6"/>
  <c r="M182" i="6"/>
  <c r="L182" i="6"/>
  <c r="O182" i="6" s="1"/>
  <c r="J177" i="6"/>
  <c r="J164" i="6" s="1"/>
  <c r="I176" i="6"/>
  <c r="I174" i="6" s="1"/>
  <c r="K174" i="6" s="1"/>
  <c r="J174" i="6"/>
  <c r="N173" i="6"/>
  <c r="N171" i="6" s="1"/>
  <c r="M173" i="6"/>
  <c r="P173" i="6" s="1"/>
  <c r="L173" i="6"/>
  <c r="O173" i="6" s="1"/>
  <c r="P172" i="6"/>
  <c r="O172" i="6"/>
  <c r="N170" i="6"/>
  <c r="M170" i="6"/>
  <c r="L170" i="6"/>
  <c r="P169" i="6"/>
  <c r="O169" i="6"/>
  <c r="P166" i="6"/>
  <c r="N166" i="6"/>
  <c r="M166" i="6"/>
  <c r="L166" i="6"/>
  <c r="O166" i="6" s="1"/>
  <c r="I159" i="6"/>
  <c r="K159" i="6" s="1"/>
  <c r="N157" i="6"/>
  <c r="M157" i="6"/>
  <c r="L157" i="6"/>
  <c r="O157" i="6" s="1"/>
  <c r="P156" i="6"/>
  <c r="O156" i="6"/>
  <c r="N154" i="6"/>
  <c r="N152" i="6" s="1"/>
  <c r="M154" i="6"/>
  <c r="L154" i="6"/>
  <c r="L152" i="6" s="1"/>
  <c r="P153" i="6"/>
  <c r="O153" i="6"/>
  <c r="P150" i="6"/>
  <c r="N150" i="6"/>
  <c r="M150" i="6"/>
  <c r="L150" i="6"/>
  <c r="J148" i="6"/>
  <c r="I146" i="6"/>
  <c r="K146" i="6" s="1"/>
  <c r="I145" i="6"/>
  <c r="I144" i="6"/>
  <c r="K144" i="6" s="1"/>
  <c r="N140" i="6"/>
  <c r="M140" i="6"/>
  <c r="L140" i="6"/>
  <c r="P139" i="6"/>
  <c r="O139" i="6"/>
  <c r="N137" i="6"/>
  <c r="N135" i="6" s="1"/>
  <c r="M137" i="6"/>
  <c r="M135" i="6" s="1"/>
  <c r="L137" i="6"/>
  <c r="P136" i="6"/>
  <c r="O136" i="6"/>
  <c r="O133" i="6"/>
  <c r="N133" i="6"/>
  <c r="M133" i="6"/>
  <c r="L133" i="6"/>
  <c r="J130" i="6"/>
  <c r="N127" i="6"/>
  <c r="N125" i="6" s="1"/>
  <c r="M127" i="6"/>
  <c r="L127" i="6"/>
  <c r="P126" i="6"/>
  <c r="O126" i="6"/>
  <c r="N124" i="6"/>
  <c r="M124" i="6"/>
  <c r="L124" i="6"/>
  <c r="O124" i="6" s="1"/>
  <c r="P123" i="6"/>
  <c r="O123" i="6"/>
  <c r="P120" i="6"/>
  <c r="N120" i="6"/>
  <c r="M120" i="6"/>
  <c r="L120" i="6"/>
  <c r="K118" i="6"/>
  <c r="J118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I87" i="6" s="1"/>
  <c r="K87" i="6" s="1"/>
  <c r="J98" i="6"/>
  <c r="I98" i="6"/>
  <c r="I86" i="6" s="1"/>
  <c r="N96" i="6"/>
  <c r="N94" i="6" s="1"/>
  <c r="M96" i="6"/>
  <c r="L96" i="6"/>
  <c r="O96" i="6" s="1"/>
  <c r="P95" i="6"/>
  <c r="O95" i="6"/>
  <c r="N93" i="6"/>
  <c r="M93" i="6"/>
  <c r="L93" i="6"/>
  <c r="L91" i="6" s="1"/>
  <c r="P92" i="6"/>
  <c r="O92" i="6"/>
  <c r="P89" i="6"/>
  <c r="N89" i="6"/>
  <c r="M89" i="6"/>
  <c r="L89" i="6"/>
  <c r="J86" i="6"/>
  <c r="I84" i="6"/>
  <c r="K84" i="6" s="1"/>
  <c r="I83" i="6"/>
  <c r="K83" i="6" s="1"/>
  <c r="I82" i="6"/>
  <c r="K82" i="6" s="1"/>
  <c r="I81" i="6"/>
  <c r="I80" i="6"/>
  <c r="I79" i="6"/>
  <c r="K79" i="6" s="1"/>
  <c r="I78" i="6"/>
  <c r="K78" i="6" s="1"/>
  <c r="J77" i="6"/>
  <c r="J76" i="6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L71" i="6"/>
  <c r="L69" i="6" s="1"/>
  <c r="O69" i="6" s="1"/>
  <c r="P70" i="6"/>
  <c r="O70" i="6"/>
  <c r="O67" i="6"/>
  <c r="N67" i="6"/>
  <c r="M67" i="6"/>
  <c r="P67" i="6" s="1"/>
  <c r="L67" i="6"/>
  <c r="J65" i="6"/>
  <c r="J64" i="6"/>
  <c r="N61" i="6"/>
  <c r="N59" i="6" s="1"/>
  <c r="M61" i="6"/>
  <c r="L61" i="6"/>
  <c r="L59" i="6" s="1"/>
  <c r="P60" i="6"/>
  <c r="O60" i="6"/>
  <c r="N58" i="6"/>
  <c r="M58" i="6"/>
  <c r="L58" i="6"/>
  <c r="L56" i="6" s="1"/>
  <c r="P57" i="6"/>
  <c r="O57" i="6"/>
  <c r="P54" i="6"/>
  <c r="N54" i="6"/>
  <c r="M54" i="6"/>
  <c r="L54" i="6"/>
  <c r="N49" i="6"/>
  <c r="N47" i="6" s="1"/>
  <c r="M49" i="6"/>
  <c r="P49" i="6" s="1"/>
  <c r="L49" i="6"/>
  <c r="O49" i="6" s="1"/>
  <c r="P48" i="6"/>
  <c r="O48" i="6"/>
  <c r="N46" i="6"/>
  <c r="N44" i="6" s="1"/>
  <c r="M46" i="6"/>
  <c r="M44" i="6" s="1"/>
  <c r="L46" i="6"/>
  <c r="L44" i="6" s="1"/>
  <c r="P45" i="6"/>
  <c r="O45" i="6"/>
  <c r="O42" i="6"/>
  <c r="N42" i="6"/>
  <c r="M42" i="6"/>
  <c r="P42" i="6" s="1"/>
  <c r="L42" i="6"/>
  <c r="P36" i="6"/>
  <c r="N36" i="6"/>
  <c r="M36" i="6"/>
  <c r="P35" i="6"/>
  <c r="O35" i="6"/>
  <c r="N35" i="6"/>
  <c r="M35" i="6"/>
  <c r="M34" i="6" s="1"/>
  <c r="L35" i="6"/>
  <c r="P34" i="6"/>
  <c r="N34" i="6"/>
  <c r="N33" i="6"/>
  <c r="P32" i="6"/>
  <c r="N32" i="6"/>
  <c r="M32" i="6"/>
  <c r="L32" i="6"/>
  <c r="O32" i="6" s="1"/>
  <c r="P29" i="6"/>
  <c r="M29" i="6"/>
  <c r="P25" i="6"/>
  <c r="N25" i="6"/>
  <c r="N15" i="6" s="1"/>
  <c r="M25" i="6"/>
  <c r="L25" i="6"/>
  <c r="L15" i="6" s="1"/>
  <c r="N22" i="6"/>
  <c r="M22" i="6"/>
  <c r="L22" i="6"/>
  <c r="L19" i="6" s="1"/>
  <c r="N19" i="6"/>
  <c r="M15" i="6"/>
  <c r="P15" i="6" s="1"/>
  <c r="N12" i="6"/>
  <c r="N9" i="6" s="1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N805" i="5" s="1"/>
  <c r="P809" i="5"/>
  <c r="O809" i="5"/>
  <c r="P808" i="5"/>
  <c r="O808" i="5"/>
  <c r="N808" i="5"/>
  <c r="M808" i="5"/>
  <c r="L808" i="5"/>
  <c r="O807" i="5"/>
  <c r="M807" i="5"/>
  <c r="L807" i="5"/>
  <c r="N806" i="5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P790" i="5"/>
  <c r="O790" i="5"/>
  <c r="P789" i="5"/>
  <c r="N789" i="5"/>
  <c r="M789" i="5"/>
  <c r="M788" i="5"/>
  <c r="P787" i="5"/>
  <c r="N787" i="5"/>
  <c r="M787" i="5"/>
  <c r="L787" i="5"/>
  <c r="P782" i="5"/>
  <c r="O782" i="5"/>
  <c r="P781" i="5"/>
  <c r="O781" i="5"/>
  <c r="N780" i="5"/>
  <c r="M780" i="5"/>
  <c r="P780" i="5" s="1"/>
  <c r="L780" i="5"/>
  <c r="O780" i="5" s="1"/>
  <c r="P775" i="5"/>
  <c r="O775" i="5"/>
  <c r="N775" i="5"/>
  <c r="P774" i="5"/>
  <c r="O774" i="5"/>
  <c r="O773" i="5"/>
  <c r="N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P758" i="5"/>
  <c r="O758" i="5"/>
  <c r="O757" i="5"/>
  <c r="N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P741" i="5"/>
  <c r="O741" i="5"/>
  <c r="O740" i="5"/>
  <c r="N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N695" i="5"/>
  <c r="M695" i="5"/>
  <c r="P695" i="5" s="1"/>
  <c r="L695" i="5"/>
  <c r="O695" i="5" s="1"/>
  <c r="N690" i="5"/>
  <c r="L690" i="5"/>
  <c r="O690" i="5" s="1"/>
  <c r="N688" i="5"/>
  <c r="N687" i="5"/>
  <c r="N685" i="5" s="1"/>
  <c r="O686" i="5"/>
  <c r="N686" i="5"/>
  <c r="M686" i="5"/>
  <c r="L686" i="5"/>
  <c r="J679" i="5"/>
  <c r="J678" i="5"/>
  <c r="I678" i="5"/>
  <c r="K678" i="5" s="1"/>
  <c r="J675" i="5"/>
  <c r="J669" i="5" s="1"/>
  <c r="I671" i="5"/>
  <c r="K671" i="5" s="1"/>
  <c r="I670" i="5"/>
  <c r="K670" i="5" s="1"/>
  <c r="I669" i="5"/>
  <c r="K674" i="5" s="1"/>
  <c r="P667" i="5"/>
  <c r="O667" i="5"/>
  <c r="P666" i="5"/>
  <c r="O666" i="5"/>
  <c r="O665" i="5"/>
  <c r="N665" i="5"/>
  <c r="M665" i="5"/>
  <c r="P665" i="5" s="1"/>
  <c r="L665" i="5"/>
  <c r="N660" i="5"/>
  <c r="N658" i="5" s="1"/>
  <c r="L660" i="5"/>
  <c r="L657" i="5" s="1"/>
  <c r="P659" i="5"/>
  <c r="O659" i="5"/>
  <c r="N657" i="5"/>
  <c r="N656" i="5"/>
  <c r="N655" i="5" s="1"/>
  <c r="M656" i="5"/>
  <c r="P656" i="5" s="1"/>
  <c r="L656" i="5"/>
  <c r="O656" i="5" s="1"/>
  <c r="J654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L639" i="5"/>
  <c r="O639" i="5" s="1"/>
  <c r="P634" i="5"/>
  <c r="N634" i="5"/>
  <c r="L634" i="5"/>
  <c r="O634" i="5" s="1"/>
  <c r="P633" i="5"/>
  <c r="O633" i="5"/>
  <c r="N632" i="5"/>
  <c r="M632" i="5"/>
  <c r="P632" i="5" s="1"/>
  <c r="P631" i="5"/>
  <c r="N631" i="5"/>
  <c r="N629" i="5" s="1"/>
  <c r="M631" i="5"/>
  <c r="O630" i="5"/>
  <c r="N630" i="5"/>
  <c r="M630" i="5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K594" i="5" s="1"/>
  <c r="J593" i="5"/>
  <c r="J592" i="5" s="1"/>
  <c r="I593" i="5"/>
  <c r="K593" i="5" s="1"/>
  <c r="J583" i="5"/>
  <c r="J582" i="5"/>
  <c r="J576" i="5" s="1"/>
  <c r="J559" i="5" s="1"/>
  <c r="J577" i="5"/>
  <c r="I577" i="5"/>
  <c r="K577" i="5" s="1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P557" i="5"/>
  <c r="L557" i="5"/>
  <c r="P556" i="5"/>
  <c r="O556" i="5"/>
  <c r="N555" i="5"/>
  <c r="M555" i="5"/>
  <c r="N549" i="5"/>
  <c r="N547" i="5" s="1"/>
  <c r="L549" i="5"/>
  <c r="P548" i="5"/>
  <c r="O548" i="5"/>
  <c r="N546" i="5"/>
  <c r="N545" i="5"/>
  <c r="N544" i="5" s="1"/>
  <c r="L545" i="5"/>
  <c r="O545" i="5" s="1"/>
  <c r="J543" i="5"/>
  <c r="I542" i="5"/>
  <c r="K542" i="5" s="1"/>
  <c r="I541" i="5"/>
  <c r="K541" i="5" s="1"/>
  <c r="I540" i="5"/>
  <c r="K540" i="5" s="1"/>
  <c r="I539" i="5"/>
  <c r="I538" i="5"/>
  <c r="K538" i="5" s="1"/>
  <c r="I537" i="5"/>
  <c r="I522" i="5" s="1"/>
  <c r="K522" i="5" s="1"/>
  <c r="P535" i="5"/>
  <c r="L535" i="5"/>
  <c r="P534" i="5"/>
  <c r="O534" i="5"/>
  <c r="N533" i="5"/>
  <c r="M533" i="5"/>
  <c r="P533" i="5" s="1"/>
  <c r="P528" i="5"/>
  <c r="N528" i="5"/>
  <c r="N525" i="5" s="1"/>
  <c r="N523" i="5" s="1"/>
  <c r="L528" i="5"/>
  <c r="O528" i="5" s="1"/>
  <c r="P527" i="5"/>
  <c r="O527" i="5"/>
  <c r="N526" i="5"/>
  <c r="M526" i="5"/>
  <c r="P526" i="5" s="1"/>
  <c r="P525" i="5"/>
  <c r="M525" i="5"/>
  <c r="M523" i="5" s="1"/>
  <c r="P523" i="5" s="1"/>
  <c r="P524" i="5"/>
  <c r="O524" i="5"/>
  <c r="N524" i="5"/>
  <c r="M524" i="5"/>
  <c r="L524" i="5"/>
  <c r="K517" i="5"/>
  <c r="J517" i="5"/>
  <c r="J501" i="5" s="1"/>
  <c r="K516" i="5"/>
  <c r="P514" i="5"/>
  <c r="O514" i="5"/>
  <c r="P513" i="5"/>
  <c r="O513" i="5"/>
  <c r="N512" i="5"/>
  <c r="M512" i="5"/>
  <c r="P512" i="5" s="1"/>
  <c r="L512" i="5"/>
  <c r="O512" i="5" s="1"/>
  <c r="P507" i="5"/>
  <c r="O507" i="5"/>
  <c r="N507" i="5"/>
  <c r="P506" i="5"/>
  <c r="O506" i="5"/>
  <c r="P505" i="5"/>
  <c r="O505" i="5"/>
  <c r="N505" i="5"/>
  <c r="M505" i="5"/>
  <c r="L505" i="5"/>
  <c r="P504" i="5"/>
  <c r="O504" i="5"/>
  <c r="N504" i="5"/>
  <c r="N502" i="5" s="1"/>
  <c r="M504" i="5"/>
  <c r="L504" i="5"/>
  <c r="O503" i="5"/>
  <c r="N503" i="5"/>
  <c r="M503" i="5"/>
  <c r="L503" i="5"/>
  <c r="L502" i="5"/>
  <c r="O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P477" i="5"/>
  <c r="N477" i="5"/>
  <c r="M477" i="5"/>
  <c r="L477" i="5"/>
  <c r="O477" i="5" s="1"/>
  <c r="N472" i="5"/>
  <c r="N470" i="5" s="1"/>
  <c r="L472" i="5"/>
  <c r="M472" i="5" s="1"/>
  <c r="P471" i="5"/>
  <c r="O471" i="5"/>
  <c r="N469" i="5"/>
  <c r="P468" i="5"/>
  <c r="O468" i="5"/>
  <c r="N468" i="5"/>
  <c r="N467" i="5" s="1"/>
  <c r="M468" i="5"/>
  <c r="L468" i="5"/>
  <c r="J466" i="5"/>
  <c r="I466" i="5"/>
  <c r="K466" i="5" s="1"/>
  <c r="J465" i="5"/>
  <c r="I465" i="5"/>
  <c r="I464" i="5"/>
  <c r="K464" i="5" s="1"/>
  <c r="I463" i="5"/>
  <c r="K463" i="5" s="1"/>
  <c r="I462" i="5"/>
  <c r="I443" i="5" s="1"/>
  <c r="K443" i="5" s="1"/>
  <c r="I460" i="5"/>
  <c r="K460" i="5" s="1"/>
  <c r="K458" i="5"/>
  <c r="P456" i="5"/>
  <c r="L456" i="5"/>
  <c r="L454" i="5" s="1"/>
  <c r="O454" i="5" s="1"/>
  <c r="P455" i="5"/>
  <c r="O455" i="5"/>
  <c r="P454" i="5"/>
  <c r="N454" i="5"/>
  <c r="M454" i="5"/>
  <c r="N449" i="5"/>
  <c r="L449" i="5"/>
  <c r="L447" i="5" s="1"/>
  <c r="P448" i="5"/>
  <c r="O448" i="5"/>
  <c r="N447" i="5"/>
  <c r="N446" i="5"/>
  <c r="N445" i="5"/>
  <c r="N444" i="5" s="1"/>
  <c r="M445" i="5"/>
  <c r="P445" i="5" s="1"/>
  <c r="L445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K435" i="5" s="1"/>
  <c r="J434" i="5"/>
  <c r="J418" i="5" s="1"/>
  <c r="P431" i="5"/>
  <c r="L431" i="5"/>
  <c r="L429" i="5" s="1"/>
  <c r="O429" i="5" s="1"/>
  <c r="P430" i="5"/>
  <c r="O430" i="5"/>
  <c r="P429" i="5"/>
  <c r="N429" i="5"/>
  <c r="M429" i="5"/>
  <c r="N424" i="5"/>
  <c r="L424" i="5"/>
  <c r="L422" i="5" s="1"/>
  <c r="P423" i="5"/>
  <c r="O423" i="5"/>
  <c r="N421" i="5"/>
  <c r="O420" i="5"/>
  <c r="N420" i="5"/>
  <c r="M420" i="5"/>
  <c r="L420" i="5"/>
  <c r="K413" i="5"/>
  <c r="K412" i="5"/>
  <c r="N410" i="5"/>
  <c r="N408" i="5" s="1"/>
  <c r="M410" i="5"/>
  <c r="P410" i="5" s="1"/>
  <c r="L410" i="5"/>
  <c r="P409" i="5"/>
  <c r="O409" i="5"/>
  <c r="N407" i="5"/>
  <c r="N405" i="5" s="1"/>
  <c r="M407" i="5"/>
  <c r="P407" i="5" s="1"/>
  <c r="L407" i="5"/>
  <c r="P406" i="5"/>
  <c r="O406" i="5"/>
  <c r="N403" i="5"/>
  <c r="M403" i="5"/>
  <c r="L403" i="5"/>
  <c r="O403" i="5" s="1"/>
  <c r="J401" i="5"/>
  <c r="I401" i="5"/>
  <c r="K401" i="5" s="1"/>
  <c r="K400" i="5"/>
  <c r="K399" i="5"/>
  <c r="N397" i="5"/>
  <c r="N395" i="5" s="1"/>
  <c r="M397" i="5"/>
  <c r="M395" i="5" s="1"/>
  <c r="P395" i="5" s="1"/>
  <c r="L397" i="5"/>
  <c r="O397" i="5" s="1"/>
  <c r="P396" i="5"/>
  <c r="O396" i="5"/>
  <c r="N394" i="5"/>
  <c r="N392" i="5" s="1"/>
  <c r="M394" i="5"/>
  <c r="M392" i="5" s="1"/>
  <c r="P392" i="5" s="1"/>
  <c r="L394" i="5"/>
  <c r="O394" i="5" s="1"/>
  <c r="P393" i="5"/>
  <c r="O393" i="5"/>
  <c r="O390" i="5"/>
  <c r="N390" i="5"/>
  <c r="M390" i="5"/>
  <c r="L390" i="5"/>
  <c r="J388" i="5"/>
  <c r="I388" i="5"/>
  <c r="K388" i="5" s="1"/>
  <c r="J385" i="5"/>
  <c r="I385" i="5"/>
  <c r="K382" i="5"/>
  <c r="J382" i="5"/>
  <c r="J381" i="5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L351" i="5" s="1"/>
  <c r="P352" i="5"/>
  <c r="O352" i="5"/>
  <c r="N350" i="5"/>
  <c r="M350" i="5"/>
  <c r="M348" i="5" s="1"/>
  <c r="L350" i="5"/>
  <c r="L348" i="5" s="1"/>
  <c r="P349" i="5"/>
  <c r="O349" i="5"/>
  <c r="P346" i="5"/>
  <c r="O346" i="5"/>
  <c r="N346" i="5"/>
  <c r="M346" i="5"/>
  <c r="L346" i="5"/>
  <c r="J343" i="5"/>
  <c r="J342" i="5"/>
  <c r="J341" i="5"/>
  <c r="J340" i="5"/>
  <c r="I340" i="5"/>
  <c r="J338" i="5"/>
  <c r="I338" i="5"/>
  <c r="N336" i="5"/>
  <c r="N334" i="5" s="1"/>
  <c r="M336" i="5"/>
  <c r="M334" i="5" s="1"/>
  <c r="P334" i="5" s="1"/>
  <c r="L336" i="5"/>
  <c r="O336" i="5" s="1"/>
  <c r="P335" i="5"/>
  <c r="O335" i="5"/>
  <c r="N333" i="5"/>
  <c r="M333" i="5"/>
  <c r="M331" i="5" s="1"/>
  <c r="L333" i="5"/>
  <c r="L331" i="5" s="1"/>
  <c r="P332" i="5"/>
  <c r="O332" i="5"/>
  <c r="N329" i="5"/>
  <c r="M329" i="5"/>
  <c r="L329" i="5"/>
  <c r="I327" i="5"/>
  <c r="I325" i="5"/>
  <c r="I314" i="5" s="1"/>
  <c r="K314" i="5" s="1"/>
  <c r="N323" i="5"/>
  <c r="N321" i="5" s="1"/>
  <c r="M323" i="5"/>
  <c r="P323" i="5" s="1"/>
  <c r="L323" i="5"/>
  <c r="L321" i="5" s="1"/>
  <c r="O321" i="5" s="1"/>
  <c r="P322" i="5"/>
  <c r="O322" i="5"/>
  <c r="N320" i="5"/>
  <c r="N318" i="5" s="1"/>
  <c r="M320" i="5"/>
  <c r="L320" i="5"/>
  <c r="L318" i="5" s="1"/>
  <c r="O318" i="5" s="1"/>
  <c r="P319" i="5"/>
  <c r="O319" i="5"/>
  <c r="N316" i="5"/>
  <c r="M316" i="5"/>
  <c r="P316" i="5" s="1"/>
  <c r="L316" i="5"/>
  <c r="O316" i="5" s="1"/>
  <c r="J314" i="5"/>
  <c r="I312" i="5"/>
  <c r="K312" i="5" s="1"/>
  <c r="I311" i="5"/>
  <c r="K311" i="5" s="1"/>
  <c r="I310" i="5"/>
  <c r="K310" i="5" s="1"/>
  <c r="I309" i="5"/>
  <c r="N306" i="5"/>
  <c r="N304" i="5" s="1"/>
  <c r="M306" i="5"/>
  <c r="M304" i="5" s="1"/>
  <c r="P304" i="5" s="1"/>
  <c r="L306" i="5"/>
  <c r="O306" i="5" s="1"/>
  <c r="P305" i="5"/>
  <c r="O305" i="5"/>
  <c r="N303" i="5"/>
  <c r="M303" i="5"/>
  <c r="L303" i="5"/>
  <c r="L301" i="5" s="1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P285" i="5" s="1"/>
  <c r="L285" i="5"/>
  <c r="L283" i="5" s="1"/>
  <c r="O283" i="5" s="1"/>
  <c r="P284" i="5"/>
  <c r="O284" i="5"/>
  <c r="N282" i="5"/>
  <c r="N280" i="5" s="1"/>
  <c r="M282" i="5"/>
  <c r="M280" i="5" s="1"/>
  <c r="L282" i="5"/>
  <c r="P281" i="5"/>
  <c r="O281" i="5"/>
  <c r="P278" i="5"/>
  <c r="N278" i="5"/>
  <c r="M278" i="5"/>
  <c r="L278" i="5"/>
  <c r="O278" i="5" s="1"/>
  <c r="J276" i="5"/>
  <c r="I271" i="5"/>
  <c r="K271" i="5" s="1"/>
  <c r="N269" i="5"/>
  <c r="N267" i="5" s="1"/>
  <c r="M269" i="5"/>
  <c r="L269" i="5"/>
  <c r="O269" i="5" s="1"/>
  <c r="P268" i="5"/>
  <c r="O268" i="5"/>
  <c r="N266" i="5"/>
  <c r="M266" i="5"/>
  <c r="M264" i="5" s="1"/>
  <c r="L266" i="5"/>
  <c r="P265" i="5"/>
  <c r="O265" i="5"/>
  <c r="N262" i="5"/>
  <c r="M262" i="5"/>
  <c r="L262" i="5"/>
  <c r="O262" i="5" s="1"/>
  <c r="J260" i="5"/>
  <c r="K258" i="5"/>
  <c r="K257" i="5"/>
  <c r="I255" i="5"/>
  <c r="I248" i="5" s="1"/>
  <c r="K248" i="5" s="1"/>
  <c r="L253" i="5"/>
  <c r="L252" i="5"/>
  <c r="L251" i="5"/>
  <c r="L250" i="5"/>
  <c r="P249" i="5"/>
  <c r="N249" i="5"/>
  <c r="N227" i="5" s="1"/>
  <c r="J248" i="5"/>
  <c r="K247" i="5"/>
  <c r="K246" i="5"/>
  <c r="I244" i="5"/>
  <c r="K244" i="5" s="1"/>
  <c r="L242" i="5"/>
  <c r="L241" i="5"/>
  <c r="L240" i="5"/>
  <c r="L239" i="5"/>
  <c r="P238" i="5"/>
  <c r="N238" i="5"/>
  <c r="J237" i="5"/>
  <c r="J226" i="5" s="1"/>
  <c r="J180" i="5" s="1"/>
  <c r="J236" i="5"/>
  <c r="I236" i="5"/>
  <c r="K236" i="5" s="1"/>
  <c r="K235" i="5"/>
  <c r="J235" i="5"/>
  <c r="I235" i="5"/>
  <c r="J233" i="5"/>
  <c r="N231" i="5"/>
  <c r="N230" i="5"/>
  <c r="N229" i="5"/>
  <c r="N228" i="5"/>
  <c r="I225" i="5"/>
  <c r="K225" i="5" s="1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M187" i="5" s="1"/>
  <c r="P187" i="5" s="1"/>
  <c r="L189" i="5"/>
  <c r="O189" i="5" s="1"/>
  <c r="P188" i="5"/>
  <c r="O188" i="5"/>
  <c r="N186" i="5"/>
  <c r="N184" i="5" s="1"/>
  <c r="M186" i="5"/>
  <c r="M184" i="5" s="1"/>
  <c r="L186" i="5"/>
  <c r="P185" i="5"/>
  <c r="O185" i="5"/>
  <c r="P182" i="5"/>
  <c r="O182" i="5"/>
  <c r="N182" i="5"/>
  <c r="M182" i="5"/>
  <c r="L182" i="5"/>
  <c r="J177" i="5"/>
  <c r="I176" i="5"/>
  <c r="I174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M168" i="5" s="1"/>
  <c r="L170" i="5"/>
  <c r="P169" i="5"/>
  <c r="O169" i="5"/>
  <c r="O166" i="5"/>
  <c r="N166" i="5"/>
  <c r="M166" i="5"/>
  <c r="L166" i="5"/>
  <c r="J164" i="5"/>
  <c r="I159" i="5"/>
  <c r="K159" i="5" s="1"/>
  <c r="N157" i="5"/>
  <c r="M157" i="5"/>
  <c r="P157" i="5" s="1"/>
  <c r="L157" i="5"/>
  <c r="O157" i="5" s="1"/>
  <c r="P156" i="5"/>
  <c r="O156" i="5"/>
  <c r="N154" i="5"/>
  <c r="N152" i="5" s="1"/>
  <c r="M154" i="5"/>
  <c r="P154" i="5" s="1"/>
  <c r="L154" i="5"/>
  <c r="L152" i="5" s="1"/>
  <c r="O152" i="5" s="1"/>
  <c r="P153" i="5"/>
  <c r="O153" i="5"/>
  <c r="O150" i="5"/>
  <c r="N150" i="5"/>
  <c r="M150" i="5"/>
  <c r="P150" i="5" s="1"/>
  <c r="L150" i="5"/>
  <c r="J148" i="5"/>
  <c r="I146" i="5"/>
  <c r="K146" i="5" s="1"/>
  <c r="I145" i="5"/>
  <c r="K145" i="5" s="1"/>
  <c r="I144" i="5"/>
  <c r="N140" i="5"/>
  <c r="M140" i="5"/>
  <c r="M138" i="5" s="1"/>
  <c r="P138" i="5" s="1"/>
  <c r="L140" i="5"/>
  <c r="O140" i="5" s="1"/>
  <c r="P139" i="5"/>
  <c r="O139" i="5"/>
  <c r="N137" i="5"/>
  <c r="N135" i="5" s="1"/>
  <c r="M137" i="5"/>
  <c r="M135" i="5" s="1"/>
  <c r="P135" i="5" s="1"/>
  <c r="L137" i="5"/>
  <c r="O137" i="5" s="1"/>
  <c r="P136" i="5"/>
  <c r="O136" i="5"/>
  <c r="N133" i="5"/>
  <c r="M133" i="5"/>
  <c r="L133" i="5"/>
  <c r="O133" i="5" s="1"/>
  <c r="J130" i="5"/>
  <c r="N127" i="5"/>
  <c r="N125" i="5" s="1"/>
  <c r="M127" i="5"/>
  <c r="P127" i="5" s="1"/>
  <c r="L127" i="5"/>
  <c r="O127" i="5" s="1"/>
  <c r="P126" i="5"/>
  <c r="O126" i="5"/>
  <c r="N124" i="5"/>
  <c r="N122" i="5" s="1"/>
  <c r="M124" i="5"/>
  <c r="L124" i="5"/>
  <c r="P123" i="5"/>
  <c r="O123" i="5"/>
  <c r="P120" i="5"/>
  <c r="O120" i="5"/>
  <c r="N120" i="5"/>
  <c r="M120" i="5"/>
  <c r="L120" i="5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K99" i="5" s="1"/>
  <c r="J98" i="5"/>
  <c r="I98" i="5"/>
  <c r="I86" i="5" s="1"/>
  <c r="K86" i="5" s="1"/>
  <c r="N96" i="5"/>
  <c r="N94" i="5" s="1"/>
  <c r="M96" i="5"/>
  <c r="M94" i="5" s="1"/>
  <c r="P94" i="5" s="1"/>
  <c r="L96" i="5"/>
  <c r="O96" i="5" s="1"/>
  <c r="P95" i="5"/>
  <c r="O95" i="5"/>
  <c r="N93" i="5"/>
  <c r="N91" i="5" s="1"/>
  <c r="M93" i="5"/>
  <c r="M91" i="5" s="1"/>
  <c r="L93" i="5"/>
  <c r="L91" i="5" s="1"/>
  <c r="P92" i="5"/>
  <c r="O92" i="5"/>
  <c r="P89" i="5"/>
  <c r="O89" i="5"/>
  <c r="N89" i="5"/>
  <c r="M89" i="5"/>
  <c r="L89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K78" i="5" s="1"/>
  <c r="J77" i="5"/>
  <c r="J65" i="5" s="1"/>
  <c r="J76" i="5"/>
  <c r="N74" i="5"/>
  <c r="N72" i="5" s="1"/>
  <c r="M74" i="5"/>
  <c r="L74" i="5"/>
  <c r="L72" i="5" s="1"/>
  <c r="O72" i="5" s="1"/>
  <c r="P73" i="5"/>
  <c r="O73" i="5"/>
  <c r="N71" i="5"/>
  <c r="N69" i="5" s="1"/>
  <c r="M71" i="5"/>
  <c r="M69" i="5" s="1"/>
  <c r="L71" i="5"/>
  <c r="L69" i="5" s="1"/>
  <c r="P70" i="5"/>
  <c r="O70" i="5"/>
  <c r="P67" i="5"/>
  <c r="O67" i="5"/>
  <c r="N67" i="5"/>
  <c r="M67" i="5"/>
  <c r="L67" i="5"/>
  <c r="J64" i="5"/>
  <c r="N61" i="5"/>
  <c r="N59" i="5" s="1"/>
  <c r="M61" i="5"/>
  <c r="M59" i="5" s="1"/>
  <c r="L61" i="5"/>
  <c r="L59" i="5" s="1"/>
  <c r="P60" i="5"/>
  <c r="O60" i="5"/>
  <c r="N58" i="5"/>
  <c r="M58" i="5"/>
  <c r="M56" i="5" s="1"/>
  <c r="L58" i="5"/>
  <c r="P57" i="5"/>
  <c r="O57" i="5"/>
  <c r="P54" i="5"/>
  <c r="N54" i="5"/>
  <c r="M54" i="5"/>
  <c r="L54" i="5"/>
  <c r="N49" i="5"/>
  <c r="M49" i="5"/>
  <c r="L49" i="5"/>
  <c r="O49" i="5" s="1"/>
  <c r="P48" i="5"/>
  <c r="O48" i="5"/>
  <c r="N46" i="5"/>
  <c r="N44" i="5" s="1"/>
  <c r="M46" i="5"/>
  <c r="L46" i="5"/>
  <c r="L44" i="5" s="1"/>
  <c r="P45" i="5"/>
  <c r="O45" i="5"/>
  <c r="P42" i="5"/>
  <c r="N42" i="5"/>
  <c r="M42" i="5"/>
  <c r="L42" i="5"/>
  <c r="N36" i="5"/>
  <c r="N30" i="5" s="1"/>
  <c r="M36" i="5"/>
  <c r="P36" i="5" s="1"/>
  <c r="N35" i="5"/>
  <c r="M35" i="5"/>
  <c r="P35" i="5" s="1"/>
  <c r="L35" i="5"/>
  <c r="O35" i="5" s="1"/>
  <c r="N33" i="5"/>
  <c r="P32" i="5"/>
  <c r="O32" i="5"/>
  <c r="N32" i="5"/>
  <c r="M32" i="5"/>
  <c r="L32" i="5"/>
  <c r="N31" i="5"/>
  <c r="N29" i="5"/>
  <c r="L29" i="5"/>
  <c r="O29" i="5" s="1"/>
  <c r="P25" i="5"/>
  <c r="O25" i="5"/>
  <c r="N25" i="5"/>
  <c r="M25" i="5"/>
  <c r="L25" i="5"/>
  <c r="N22" i="5"/>
  <c r="M22" i="5"/>
  <c r="L22" i="5"/>
  <c r="N15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N808" i="4"/>
  <c r="M808" i="4"/>
  <c r="P808" i="4" s="1"/>
  <c r="L808" i="4"/>
  <c r="O808" i="4" s="1"/>
  <c r="M807" i="4"/>
  <c r="P807" i="4" s="1"/>
  <c r="L807" i="4"/>
  <c r="O807" i="4" s="1"/>
  <c r="N806" i="4"/>
  <c r="M806" i="4"/>
  <c r="P806" i="4" s="1"/>
  <c r="L806" i="4"/>
  <c r="O806" i="4" s="1"/>
  <c r="K804" i="4"/>
  <c r="J804" i="4"/>
  <c r="K802" i="4"/>
  <c r="J801" i="4"/>
  <c r="J800" i="4"/>
  <c r="J785" i="4" s="1"/>
  <c r="I800" i="4"/>
  <c r="I785" i="4" s="1"/>
  <c r="K785" i="4" s="1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L789" i="4" s="1"/>
  <c r="O789" i="4" s="1"/>
  <c r="P790" i="4"/>
  <c r="O790" i="4"/>
  <c r="N789" i="4"/>
  <c r="M789" i="4"/>
  <c r="P789" i="4" s="1"/>
  <c r="M788" i="4"/>
  <c r="P788" i="4" s="1"/>
  <c r="L788" i="4"/>
  <c r="O788" i="4" s="1"/>
  <c r="P787" i="4"/>
  <c r="N787" i="4"/>
  <c r="M787" i="4"/>
  <c r="L787" i="4"/>
  <c r="O787" i="4" s="1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N773" i="4"/>
  <c r="M773" i="4"/>
  <c r="P773" i="4" s="1"/>
  <c r="L773" i="4"/>
  <c r="N772" i="4"/>
  <c r="N770" i="4" s="1"/>
  <c r="M772" i="4"/>
  <c r="P772" i="4" s="1"/>
  <c r="L772" i="4"/>
  <c r="O772" i="4" s="1"/>
  <c r="N771" i="4"/>
  <c r="M771" i="4"/>
  <c r="P771" i="4" s="1"/>
  <c r="L771" i="4"/>
  <c r="O771" i="4" s="1"/>
  <c r="L770" i="4"/>
  <c r="O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P755" i="4" s="1"/>
  <c r="L755" i="4"/>
  <c r="O755" i="4" s="1"/>
  <c r="L754" i="4"/>
  <c r="O754" i="4" s="1"/>
  <c r="K753" i="4"/>
  <c r="J753" i="4"/>
  <c r="P749" i="4"/>
  <c r="O749" i="4"/>
  <c r="P748" i="4"/>
  <c r="O748" i="4"/>
  <c r="P747" i="4"/>
  <c r="N747" i="4"/>
  <c r="M747" i="4"/>
  <c r="L747" i="4"/>
  <c r="O747" i="4" s="1"/>
  <c r="P742" i="4"/>
  <c r="O742" i="4"/>
  <c r="N742" i="4"/>
  <c r="P741" i="4"/>
  <c r="O741" i="4"/>
  <c r="O740" i="4"/>
  <c r="N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P738" i="4" s="1"/>
  <c r="L738" i="4"/>
  <c r="O738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0" i="4"/>
  <c r="L690" i="4"/>
  <c r="L687" i="4" s="1"/>
  <c r="N688" i="4"/>
  <c r="N687" i="4"/>
  <c r="N685" i="4" s="1"/>
  <c r="N686" i="4"/>
  <c r="M686" i="4"/>
  <c r="P686" i="4" s="1"/>
  <c r="L686" i="4"/>
  <c r="O686" i="4" s="1"/>
  <c r="J679" i="4"/>
  <c r="J678" i="4" s="1"/>
  <c r="I678" i="4"/>
  <c r="K678" i="4" s="1"/>
  <c r="J675" i="4"/>
  <c r="J669" i="4" s="1"/>
  <c r="J654" i="4" s="1"/>
  <c r="I671" i="4"/>
  <c r="K671" i="4" s="1"/>
  <c r="I670" i="4"/>
  <c r="K670" i="4" s="1"/>
  <c r="I669" i="4"/>
  <c r="K673" i="4" s="1"/>
  <c r="P667" i="4"/>
  <c r="O667" i="4"/>
  <c r="P666" i="4"/>
  <c r="O666" i="4"/>
  <c r="N665" i="4"/>
  <c r="M665" i="4"/>
  <c r="P665" i="4" s="1"/>
  <c r="L665" i="4"/>
  <c r="O665" i="4" s="1"/>
  <c r="N664" i="4"/>
  <c r="N660" i="4"/>
  <c r="L660" i="4"/>
  <c r="L658" i="4" s="1"/>
  <c r="O658" i="4" s="1"/>
  <c r="P659" i="4"/>
  <c r="O659" i="4"/>
  <c r="N658" i="4"/>
  <c r="N657" i="4"/>
  <c r="N656" i="4"/>
  <c r="N655" i="4" s="1"/>
  <c r="M656" i="4"/>
  <c r="P656" i="4" s="1"/>
  <c r="L656" i="4"/>
  <c r="O656" i="4" s="1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7" i="4"/>
  <c r="N634" i="4" s="1"/>
  <c r="L634" i="4"/>
  <c r="M634" i="4" s="1"/>
  <c r="P633" i="4"/>
  <c r="O633" i="4"/>
  <c r="P630" i="4"/>
  <c r="N630" i="4"/>
  <c r="M630" i="4"/>
  <c r="L630" i="4"/>
  <c r="O630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6" i="4"/>
  <c r="J595" i="4"/>
  <c r="J594" i="4"/>
  <c r="I594" i="4"/>
  <c r="K594" i="4" s="1"/>
  <c r="I593" i="4"/>
  <c r="I592" i="4" s="1"/>
  <c r="J583" i="4"/>
  <c r="J577" i="4" s="1"/>
  <c r="J582" i="4"/>
  <c r="I577" i="4"/>
  <c r="K577" i="4" s="1"/>
  <c r="J576" i="4"/>
  <c r="J559" i="4" s="1"/>
  <c r="J543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P555" i="4"/>
  <c r="N555" i="4"/>
  <c r="M555" i="4"/>
  <c r="N553" i="4"/>
  <c r="N552" i="4"/>
  <c r="N549" i="4" s="1"/>
  <c r="L549" i="4"/>
  <c r="M549" i="4" s="1"/>
  <c r="P548" i="4"/>
  <c r="O548" i="4"/>
  <c r="P545" i="4"/>
  <c r="O545" i="4"/>
  <c r="N545" i="4"/>
  <c r="M545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I522" i="4" s="1"/>
  <c r="K522" i="4" s="1"/>
  <c r="P535" i="4"/>
  <c r="L535" i="4"/>
  <c r="O535" i="4" s="1"/>
  <c r="P534" i="4"/>
  <c r="O534" i="4"/>
  <c r="N533" i="4"/>
  <c r="M533" i="4"/>
  <c r="P533" i="4" s="1"/>
  <c r="P528" i="4"/>
  <c r="N528" i="4"/>
  <c r="N525" i="4" s="1"/>
  <c r="L528" i="4"/>
  <c r="O528" i="4" s="1"/>
  <c r="P527" i="4"/>
  <c r="O527" i="4"/>
  <c r="P526" i="4"/>
  <c r="N526" i="4"/>
  <c r="M526" i="4"/>
  <c r="M525" i="4"/>
  <c r="P525" i="4" s="1"/>
  <c r="P524" i="4"/>
  <c r="N524" i="4"/>
  <c r="M524" i="4"/>
  <c r="L524" i="4"/>
  <c r="M523" i="4"/>
  <c r="P523" i="4" s="1"/>
  <c r="K517" i="4"/>
  <c r="J517" i="4"/>
  <c r="J501" i="4" s="1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N505" i="4"/>
  <c r="M505" i="4"/>
  <c r="P505" i="4" s="1"/>
  <c r="L505" i="4"/>
  <c r="O505" i="4" s="1"/>
  <c r="N504" i="4"/>
  <c r="M504" i="4"/>
  <c r="P504" i="4" s="1"/>
  <c r="L504" i="4"/>
  <c r="O504" i="4" s="1"/>
  <c r="P503" i="4"/>
  <c r="N503" i="4"/>
  <c r="M503" i="4"/>
  <c r="L503" i="4"/>
  <c r="O503" i="4" s="1"/>
  <c r="N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6" i="4"/>
  <c r="N472" i="4"/>
  <c r="L472" i="4"/>
  <c r="M472" i="4" s="1"/>
  <c r="P471" i="4"/>
  <c r="O471" i="4"/>
  <c r="N470" i="4"/>
  <c r="N469" i="4"/>
  <c r="N468" i="4"/>
  <c r="N467" i="4" s="1"/>
  <c r="M468" i="4"/>
  <c r="P468" i="4" s="1"/>
  <c r="L468" i="4"/>
  <c r="O468" i="4" s="1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O456" i="4" s="1"/>
  <c r="P455" i="4"/>
  <c r="O455" i="4"/>
  <c r="N454" i="4"/>
  <c r="M454" i="4"/>
  <c r="P454" i="4" s="1"/>
  <c r="P449" i="4"/>
  <c r="N449" i="4"/>
  <c r="N446" i="4" s="1"/>
  <c r="N444" i="4" s="1"/>
  <c r="L449" i="4"/>
  <c r="O449" i="4" s="1"/>
  <c r="P448" i="4"/>
  <c r="O448" i="4"/>
  <c r="N447" i="4"/>
  <c r="M447" i="4"/>
  <c r="P447" i="4" s="1"/>
  <c r="P446" i="4"/>
  <c r="M446" i="4"/>
  <c r="M444" i="4" s="1"/>
  <c r="P444" i="4" s="1"/>
  <c r="P445" i="4"/>
  <c r="O445" i="4"/>
  <c r="N445" i="4"/>
  <c r="M445" i="4"/>
  <c r="L445" i="4"/>
  <c r="J443" i="4"/>
  <c r="I443" i="4"/>
  <c r="K443" i="4" s="1"/>
  <c r="J442" i="4"/>
  <c r="I441" i="4"/>
  <c r="K441" i="4" s="1"/>
  <c r="I440" i="4"/>
  <c r="K440" i="4" s="1"/>
  <c r="I439" i="4"/>
  <c r="K439" i="4" s="1"/>
  <c r="I438" i="4"/>
  <c r="K438" i="4" s="1"/>
  <c r="I437" i="4"/>
  <c r="I435" i="4"/>
  <c r="K435" i="4" s="1"/>
  <c r="J434" i="4"/>
  <c r="P431" i="4"/>
  <c r="L431" i="4"/>
  <c r="P430" i="4"/>
  <c r="O430" i="4"/>
  <c r="N429" i="4"/>
  <c r="M429" i="4"/>
  <c r="P429" i="4" s="1"/>
  <c r="N426" i="4"/>
  <c r="N425" i="4"/>
  <c r="N424" i="4"/>
  <c r="L424" i="4"/>
  <c r="L422" i="4" s="1"/>
  <c r="O422" i="4" s="1"/>
  <c r="P423" i="4"/>
  <c r="O423" i="4"/>
  <c r="N422" i="4"/>
  <c r="N421" i="4"/>
  <c r="N420" i="4"/>
  <c r="N419" i="4" s="1"/>
  <c r="M420" i="4"/>
  <c r="P420" i="4" s="1"/>
  <c r="L420" i="4"/>
  <c r="O420" i="4" s="1"/>
  <c r="J418" i="4"/>
  <c r="K413" i="4"/>
  <c r="K412" i="4"/>
  <c r="N410" i="4"/>
  <c r="N408" i="4" s="1"/>
  <c r="M410" i="4"/>
  <c r="P410" i="4" s="1"/>
  <c r="L410" i="4"/>
  <c r="O410" i="4" s="1"/>
  <c r="P409" i="4"/>
  <c r="O409" i="4"/>
  <c r="N407" i="4"/>
  <c r="M407" i="4"/>
  <c r="P407" i="4" s="1"/>
  <c r="L407" i="4"/>
  <c r="O407" i="4" s="1"/>
  <c r="P406" i="4"/>
  <c r="O406" i="4"/>
  <c r="P403" i="4"/>
  <c r="N403" i="4"/>
  <c r="M403" i="4"/>
  <c r="L403" i="4"/>
  <c r="O403" i="4" s="1"/>
  <c r="J401" i="4"/>
  <c r="I401" i="4"/>
  <c r="K401" i="4" s="1"/>
  <c r="K400" i="4"/>
  <c r="K399" i="4"/>
  <c r="N397" i="4"/>
  <c r="N395" i="4" s="1"/>
  <c r="M397" i="4"/>
  <c r="M395" i="4" s="1"/>
  <c r="P395" i="4" s="1"/>
  <c r="L397" i="4"/>
  <c r="O397" i="4" s="1"/>
  <c r="P396" i="4"/>
  <c r="O396" i="4"/>
  <c r="N394" i="4"/>
  <c r="M394" i="4"/>
  <c r="M392" i="4" s="1"/>
  <c r="P392" i="4" s="1"/>
  <c r="L394" i="4"/>
  <c r="O394" i="4" s="1"/>
  <c r="P393" i="4"/>
  <c r="O393" i="4"/>
  <c r="N390" i="4"/>
  <c r="M390" i="4"/>
  <c r="P390" i="4" s="1"/>
  <c r="L390" i="4"/>
  <c r="O390" i="4" s="1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N348" i="4" s="1"/>
  <c r="M350" i="4"/>
  <c r="M348" i="4" s="1"/>
  <c r="L350" i="4"/>
  <c r="P349" i="4"/>
  <c r="O349" i="4"/>
  <c r="N346" i="4"/>
  <c r="M346" i="4"/>
  <c r="P346" i="4" s="1"/>
  <c r="L346" i="4"/>
  <c r="O346" i="4" s="1"/>
  <c r="J343" i="4"/>
  <c r="J342" i="4"/>
  <c r="J341" i="4"/>
  <c r="J340" i="4"/>
  <c r="I340" i="4"/>
  <c r="J338" i="4"/>
  <c r="I338" i="4"/>
  <c r="N336" i="4"/>
  <c r="N334" i="4" s="1"/>
  <c r="M336" i="4"/>
  <c r="M334" i="4" s="1"/>
  <c r="P334" i="4" s="1"/>
  <c r="L336" i="4"/>
  <c r="O336" i="4" s="1"/>
  <c r="P335" i="4"/>
  <c r="O335" i="4"/>
  <c r="N333" i="4"/>
  <c r="N331" i="4" s="1"/>
  <c r="M333" i="4"/>
  <c r="M331" i="4" s="1"/>
  <c r="L333" i="4"/>
  <c r="L331" i="4" s="1"/>
  <c r="P332" i="4"/>
  <c r="O332" i="4"/>
  <c r="N329" i="4"/>
  <c r="M329" i="4"/>
  <c r="P329" i="4" s="1"/>
  <c r="L329" i="4"/>
  <c r="O329" i="4" s="1"/>
  <c r="I327" i="4"/>
  <c r="I325" i="4"/>
  <c r="K325" i="4" s="1"/>
  <c r="N323" i="4"/>
  <c r="N321" i="4" s="1"/>
  <c r="M323" i="4"/>
  <c r="P323" i="4" s="1"/>
  <c r="L323" i="4"/>
  <c r="O323" i="4" s="1"/>
  <c r="P322" i="4"/>
  <c r="O322" i="4"/>
  <c r="N320" i="4"/>
  <c r="N318" i="4" s="1"/>
  <c r="M320" i="4"/>
  <c r="P320" i="4" s="1"/>
  <c r="L320" i="4"/>
  <c r="O320" i="4" s="1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O306" i="4" s="1"/>
  <c r="P305" i="4"/>
  <c r="O305" i="4"/>
  <c r="N303" i="4"/>
  <c r="N301" i="4" s="1"/>
  <c r="M303" i="4"/>
  <c r="L303" i="4"/>
  <c r="O303" i="4" s="1"/>
  <c r="P302" i="4"/>
  <c r="O302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J275" i="4" s="1"/>
  <c r="I287" i="4"/>
  <c r="N285" i="4"/>
  <c r="N283" i="4" s="1"/>
  <c r="M285" i="4"/>
  <c r="P285" i="4" s="1"/>
  <c r="L285" i="4"/>
  <c r="L283" i="4" s="1"/>
  <c r="O283" i="4" s="1"/>
  <c r="P284" i="4"/>
  <c r="O284" i="4"/>
  <c r="N282" i="4"/>
  <c r="M282" i="4"/>
  <c r="L282" i="4"/>
  <c r="L280" i="4" s="1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O269" i="4" s="1"/>
  <c r="P268" i="4"/>
  <c r="O268" i="4"/>
  <c r="N266" i="4"/>
  <c r="M266" i="4"/>
  <c r="M264" i="4" s="1"/>
  <c r="L266" i="4"/>
  <c r="L264" i="4" s="1"/>
  <c r="P265" i="4"/>
  <c r="O265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I237" i="4" s="1"/>
  <c r="K237" i="4" s="1"/>
  <c r="L242" i="4"/>
  <c r="L241" i="4"/>
  <c r="L240" i="4"/>
  <c r="L239" i="4"/>
  <c r="P238" i="4"/>
  <c r="N238" i="4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N227" i="4"/>
  <c r="J226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P189" i="4" s="1"/>
  <c r="L189" i="4"/>
  <c r="P188" i="4"/>
  <c r="O188" i="4"/>
  <c r="N186" i="4"/>
  <c r="N184" i="4" s="1"/>
  <c r="M186" i="4"/>
  <c r="M184" i="4" s="1"/>
  <c r="L186" i="4"/>
  <c r="P185" i="4"/>
  <c r="O185" i="4"/>
  <c r="N182" i="4"/>
  <c r="M182" i="4"/>
  <c r="P182" i="4" s="1"/>
  <c r="L182" i="4"/>
  <c r="O182" i="4" s="1"/>
  <c r="J180" i="4"/>
  <c r="J177" i="4"/>
  <c r="I176" i="4"/>
  <c r="I174" i="4" s="1"/>
  <c r="J174" i="4"/>
  <c r="J164" i="4" s="1"/>
  <c r="N173" i="4"/>
  <c r="N171" i="4" s="1"/>
  <c r="M173" i="4"/>
  <c r="P173" i="4" s="1"/>
  <c r="L173" i="4"/>
  <c r="P172" i="4"/>
  <c r="O172" i="4"/>
  <c r="N170" i="4"/>
  <c r="N168" i="4" s="1"/>
  <c r="M170" i="4"/>
  <c r="L170" i="4"/>
  <c r="P169" i="4"/>
  <c r="O169" i="4"/>
  <c r="N166" i="4"/>
  <c r="M166" i="4"/>
  <c r="P166" i="4" s="1"/>
  <c r="L166" i="4"/>
  <c r="O166" i="4" s="1"/>
  <c r="I159" i="4"/>
  <c r="K159" i="4" s="1"/>
  <c r="N157" i="4"/>
  <c r="N155" i="4" s="1"/>
  <c r="M157" i="4"/>
  <c r="P157" i="4" s="1"/>
  <c r="L157" i="4"/>
  <c r="O157" i="4" s="1"/>
  <c r="P156" i="4"/>
  <c r="O156" i="4"/>
  <c r="N154" i="4"/>
  <c r="M154" i="4"/>
  <c r="L154" i="4"/>
  <c r="L152" i="4" s="1"/>
  <c r="O152" i="4" s="1"/>
  <c r="P153" i="4"/>
  <c r="O153" i="4"/>
  <c r="O150" i="4"/>
  <c r="N150" i="4"/>
  <c r="M150" i="4"/>
  <c r="L150" i="4"/>
  <c r="J148" i="4"/>
  <c r="I146" i="4"/>
  <c r="I130" i="4" s="1"/>
  <c r="K130" i="4" s="1"/>
  <c r="I145" i="4"/>
  <c r="I143" i="4" s="1"/>
  <c r="K143" i="4" s="1"/>
  <c r="I144" i="4"/>
  <c r="K144" i="4" s="1"/>
  <c r="N140" i="4"/>
  <c r="N138" i="4" s="1"/>
  <c r="M140" i="4"/>
  <c r="P140" i="4" s="1"/>
  <c r="L140" i="4"/>
  <c r="O140" i="4" s="1"/>
  <c r="P139" i="4"/>
  <c r="O139" i="4"/>
  <c r="N137" i="4"/>
  <c r="N135" i="4" s="1"/>
  <c r="M137" i="4"/>
  <c r="P137" i="4" s="1"/>
  <c r="L137" i="4"/>
  <c r="O137" i="4" s="1"/>
  <c r="P136" i="4"/>
  <c r="O136" i="4"/>
  <c r="P133" i="4"/>
  <c r="N133" i="4"/>
  <c r="M133" i="4"/>
  <c r="L133" i="4"/>
  <c r="O133" i="4" s="1"/>
  <c r="J130" i="4"/>
  <c r="N127" i="4"/>
  <c r="N125" i="4" s="1"/>
  <c r="M127" i="4"/>
  <c r="P127" i="4" s="1"/>
  <c r="L127" i="4"/>
  <c r="O127" i="4" s="1"/>
  <c r="P126" i="4"/>
  <c r="O126" i="4"/>
  <c r="N124" i="4"/>
  <c r="N122" i="4" s="1"/>
  <c r="M124" i="4"/>
  <c r="M122" i="4" s="1"/>
  <c r="P122" i="4" s="1"/>
  <c r="L124" i="4"/>
  <c r="P123" i="4"/>
  <c r="O123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J86" i="4" s="1"/>
  <c r="I98" i="4"/>
  <c r="K98" i="4" s="1"/>
  <c r="N96" i="4"/>
  <c r="M96" i="4"/>
  <c r="P96" i="4" s="1"/>
  <c r="L96" i="4"/>
  <c r="P95" i="4"/>
  <c r="O95" i="4"/>
  <c r="N93" i="4"/>
  <c r="N91" i="4" s="1"/>
  <c r="M93" i="4"/>
  <c r="L93" i="4"/>
  <c r="P92" i="4"/>
  <c r="O92" i="4"/>
  <c r="N89" i="4"/>
  <c r="M89" i="4"/>
  <c r="P89" i="4" s="1"/>
  <c r="L89" i="4"/>
  <c r="O89" i="4" s="1"/>
  <c r="J87" i="4"/>
  <c r="I84" i="4"/>
  <c r="K84" i="4" s="1"/>
  <c r="I83" i="4"/>
  <c r="K83" i="4" s="1"/>
  <c r="I82" i="4"/>
  <c r="K82" i="4" s="1"/>
  <c r="I81" i="4"/>
  <c r="I80" i="4"/>
  <c r="K80" i="4" s="1"/>
  <c r="I79" i="4"/>
  <c r="K79" i="4" s="1"/>
  <c r="I78" i="4"/>
  <c r="K78" i="4" s="1"/>
  <c r="J77" i="4"/>
  <c r="J76" i="4"/>
  <c r="N74" i="4"/>
  <c r="N72" i="4" s="1"/>
  <c r="M74" i="4"/>
  <c r="P74" i="4" s="1"/>
  <c r="L74" i="4"/>
  <c r="O74" i="4" s="1"/>
  <c r="P73" i="4"/>
  <c r="O73" i="4"/>
  <c r="N71" i="4"/>
  <c r="M71" i="4"/>
  <c r="P71" i="4" s="1"/>
  <c r="L71" i="4"/>
  <c r="O71" i="4" s="1"/>
  <c r="P70" i="4"/>
  <c r="O70" i="4"/>
  <c r="P67" i="4"/>
  <c r="N67" i="4"/>
  <c r="M67" i="4"/>
  <c r="L67" i="4"/>
  <c r="O67" i="4" s="1"/>
  <c r="J65" i="4"/>
  <c r="J64" i="4"/>
  <c r="N61" i="4"/>
  <c r="M61" i="4"/>
  <c r="P61" i="4" s="1"/>
  <c r="L61" i="4"/>
  <c r="O61" i="4" s="1"/>
  <c r="P60" i="4"/>
  <c r="O60" i="4"/>
  <c r="N58" i="4"/>
  <c r="M58" i="4"/>
  <c r="L58" i="4"/>
  <c r="P57" i="4"/>
  <c r="O57" i="4"/>
  <c r="O54" i="4"/>
  <c r="N54" i="4"/>
  <c r="M54" i="4"/>
  <c r="L54" i="4"/>
  <c r="N49" i="4"/>
  <c r="N47" i="4" s="1"/>
  <c r="M49" i="4"/>
  <c r="P49" i="4" s="1"/>
  <c r="L49" i="4"/>
  <c r="O49" i="4" s="1"/>
  <c r="P48" i="4"/>
  <c r="O48" i="4"/>
  <c r="N46" i="4"/>
  <c r="N44" i="4" s="1"/>
  <c r="M46" i="4"/>
  <c r="M44" i="4" s="1"/>
  <c r="L46" i="4"/>
  <c r="P45" i="4"/>
  <c r="O45" i="4"/>
  <c r="P42" i="4"/>
  <c r="N42" i="4"/>
  <c r="M42" i="4"/>
  <c r="L42" i="4"/>
  <c r="O42" i="4" s="1"/>
  <c r="N36" i="4"/>
  <c r="M36" i="4"/>
  <c r="P36" i="4" s="1"/>
  <c r="N35" i="4"/>
  <c r="N34" i="4" s="1"/>
  <c r="M35" i="4"/>
  <c r="P35" i="4" s="1"/>
  <c r="L35" i="4"/>
  <c r="N33" i="4"/>
  <c r="O32" i="4"/>
  <c r="N32" i="4"/>
  <c r="M32" i="4"/>
  <c r="L32" i="4"/>
  <c r="N31" i="4"/>
  <c r="N30" i="4"/>
  <c r="N29" i="4"/>
  <c r="N28" i="4" s="1"/>
  <c r="M29" i="4"/>
  <c r="P29" i="4" s="1"/>
  <c r="L29" i="4"/>
  <c r="O25" i="4"/>
  <c r="N25" i="4"/>
  <c r="M25" i="4"/>
  <c r="P25" i="4" s="1"/>
  <c r="L25" i="4"/>
  <c r="P22" i="4"/>
  <c r="N22" i="4"/>
  <c r="M22" i="4"/>
  <c r="L22" i="4"/>
  <c r="N19" i="4"/>
  <c r="M19" i="4"/>
  <c r="P19" i="4" s="1"/>
  <c r="P15" i="4"/>
  <c r="N15" i="4"/>
  <c r="M15" i="4"/>
  <c r="L15" i="4"/>
  <c r="N12" i="4"/>
  <c r="M12" i="4"/>
  <c r="P12" i="4" s="1"/>
  <c r="N9" i="4"/>
  <c r="M9" i="4"/>
  <c r="P9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P809" i="3"/>
  <c r="O809" i="3"/>
  <c r="P808" i="3"/>
  <c r="N808" i="3"/>
  <c r="M808" i="3"/>
  <c r="L808" i="3"/>
  <c r="O808" i="3" s="1"/>
  <c r="O807" i="3"/>
  <c r="N807" i="3"/>
  <c r="M807" i="3"/>
  <c r="L807" i="3"/>
  <c r="P806" i="3"/>
  <c r="N806" i="3"/>
  <c r="N805" i="3" s="1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O791" i="3" s="1"/>
  <c r="P790" i="3"/>
  <c r="O790" i="3"/>
  <c r="P789" i="3"/>
  <c r="M789" i="3"/>
  <c r="M788" i="3"/>
  <c r="P787" i="3"/>
  <c r="N787" i="3"/>
  <c r="N786" i="3" s="1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N690" i="3"/>
  <c r="N688" i="3" s="1"/>
  <c r="L690" i="3"/>
  <c r="O690" i="3" s="1"/>
  <c r="N687" i="3"/>
  <c r="N685" i="3" s="1"/>
  <c r="O686" i="3"/>
  <c r="N686" i="3"/>
  <c r="M686" i="3"/>
  <c r="L686" i="3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K674" i="3" s="1"/>
  <c r="P667" i="3"/>
  <c r="O667" i="3"/>
  <c r="P666" i="3"/>
  <c r="O666" i="3"/>
  <c r="O665" i="3"/>
  <c r="N665" i="3"/>
  <c r="M665" i="3"/>
  <c r="P665" i="3" s="1"/>
  <c r="L665" i="3"/>
  <c r="P660" i="3"/>
  <c r="N660" i="3"/>
  <c r="N657" i="3" s="1"/>
  <c r="L660" i="3"/>
  <c r="L657" i="3" s="1"/>
  <c r="O657" i="3" s="1"/>
  <c r="P659" i="3"/>
  <c r="O659" i="3"/>
  <c r="P658" i="3"/>
  <c r="N658" i="3"/>
  <c r="M658" i="3"/>
  <c r="L658" i="3"/>
  <c r="O658" i="3" s="1"/>
  <c r="M657" i="3"/>
  <c r="P657" i="3" s="1"/>
  <c r="P656" i="3"/>
  <c r="N656" i="3"/>
  <c r="N655" i="3" s="1"/>
  <c r="M656" i="3"/>
  <c r="M655" i="3" s="1"/>
  <c r="P655" i="3" s="1"/>
  <c r="L656" i="3"/>
  <c r="O656" i="3" s="1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N634" i="3"/>
  <c r="N632" i="3" s="1"/>
  <c r="L634" i="3"/>
  <c r="M634" i="3" s="1"/>
  <c r="P633" i="3"/>
  <c r="O633" i="3"/>
  <c r="N631" i="3"/>
  <c r="N629" i="3" s="1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I593" i="3"/>
  <c r="I592" i="3" s="1"/>
  <c r="J583" i="3"/>
  <c r="J582" i="3"/>
  <c r="J576" i="3" s="1"/>
  <c r="J559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N549" i="3"/>
  <c r="N547" i="3" s="1"/>
  <c r="L549" i="3"/>
  <c r="P548" i="3"/>
  <c r="O548" i="3"/>
  <c r="N546" i="3"/>
  <c r="O545" i="3"/>
  <c r="N545" i="3"/>
  <c r="N544" i="3" s="1"/>
  <c r="L545" i="3"/>
  <c r="J543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I522" i="3" s="1"/>
  <c r="K522" i="3" s="1"/>
  <c r="P535" i="3"/>
  <c r="L535" i="3"/>
  <c r="O535" i="3" s="1"/>
  <c r="P534" i="3"/>
  <c r="O534" i="3"/>
  <c r="P533" i="3"/>
  <c r="N533" i="3"/>
  <c r="M533" i="3"/>
  <c r="L533" i="3"/>
  <c r="O533" i="3" s="1"/>
  <c r="P528" i="3"/>
  <c r="N528" i="3"/>
  <c r="N525" i="3" s="1"/>
  <c r="L528" i="3"/>
  <c r="O528" i="3" s="1"/>
  <c r="P527" i="3"/>
  <c r="O527" i="3"/>
  <c r="N526" i="3"/>
  <c r="M526" i="3"/>
  <c r="P526" i="3" s="1"/>
  <c r="P525" i="3"/>
  <c r="M525" i="3"/>
  <c r="O524" i="3"/>
  <c r="N524" i="3"/>
  <c r="M524" i="3"/>
  <c r="M523" i="3" s="1"/>
  <c r="P523" i="3" s="1"/>
  <c r="L524" i="3"/>
  <c r="N523" i="3"/>
  <c r="K517" i="3"/>
  <c r="J517" i="3"/>
  <c r="K516" i="3"/>
  <c r="P514" i="3"/>
  <c r="O514" i="3"/>
  <c r="P513" i="3"/>
  <c r="O513" i="3"/>
  <c r="O512" i="3"/>
  <c r="N512" i="3"/>
  <c r="M512" i="3"/>
  <c r="P512" i="3" s="1"/>
  <c r="L512" i="3"/>
  <c r="P507" i="3"/>
  <c r="O507" i="3"/>
  <c r="N507" i="3"/>
  <c r="N505" i="3" s="1"/>
  <c r="P506" i="3"/>
  <c r="O506" i="3"/>
  <c r="O505" i="3"/>
  <c r="M505" i="3"/>
  <c r="P505" i="3" s="1"/>
  <c r="L505" i="3"/>
  <c r="P504" i="3"/>
  <c r="N504" i="3"/>
  <c r="N502" i="3" s="1"/>
  <c r="M504" i="3"/>
  <c r="L504" i="3"/>
  <c r="O504" i="3" s="1"/>
  <c r="O503" i="3"/>
  <c r="N503" i="3"/>
  <c r="M503" i="3"/>
  <c r="L503" i="3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L477" i="3"/>
  <c r="O477" i="3" s="1"/>
  <c r="N472" i="3"/>
  <c r="L472" i="3"/>
  <c r="M472" i="3" s="1"/>
  <c r="P471" i="3"/>
  <c r="O471" i="3"/>
  <c r="N470" i="3"/>
  <c r="N469" i="3"/>
  <c r="P468" i="3"/>
  <c r="N468" i="3"/>
  <c r="N467" i="3" s="1"/>
  <c r="M468" i="3"/>
  <c r="L468" i="3"/>
  <c r="J466" i="3"/>
  <c r="I466" i="3"/>
  <c r="K466" i="3" s="1"/>
  <c r="J465" i="3"/>
  <c r="I465" i="3"/>
  <c r="K465" i="3" s="1"/>
  <c r="I464" i="3"/>
  <c r="K464" i="3" s="1"/>
  <c r="I463" i="3"/>
  <c r="K463" i="3" s="1"/>
  <c r="I462" i="3"/>
  <c r="K462" i="3" s="1"/>
  <c r="I460" i="3"/>
  <c r="K460" i="3" s="1"/>
  <c r="K458" i="3"/>
  <c r="P456" i="3"/>
  <c r="L456" i="3"/>
  <c r="O456" i="3" s="1"/>
  <c r="P455" i="3"/>
  <c r="O455" i="3"/>
  <c r="P454" i="3"/>
  <c r="N454" i="3"/>
  <c r="M454" i="3"/>
  <c r="L454" i="3"/>
  <c r="O454" i="3" s="1"/>
  <c r="N449" i="3"/>
  <c r="L449" i="3"/>
  <c r="P448" i="3"/>
  <c r="O448" i="3"/>
  <c r="N447" i="3"/>
  <c r="N446" i="3"/>
  <c r="P445" i="3"/>
  <c r="N445" i="3"/>
  <c r="N444" i="3" s="1"/>
  <c r="M445" i="3"/>
  <c r="L445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I433" i="3" s="1"/>
  <c r="I417" i="3" s="1"/>
  <c r="J434" i="3"/>
  <c r="P431" i="3"/>
  <c r="L431" i="3"/>
  <c r="O431" i="3" s="1"/>
  <c r="P430" i="3"/>
  <c r="O430" i="3"/>
  <c r="N429" i="3"/>
  <c r="M429" i="3"/>
  <c r="P429" i="3" s="1"/>
  <c r="N424" i="3"/>
  <c r="N422" i="3" s="1"/>
  <c r="L424" i="3"/>
  <c r="M424" i="3" s="1"/>
  <c r="P423" i="3"/>
  <c r="O423" i="3"/>
  <c r="N421" i="3"/>
  <c r="O420" i="3"/>
  <c r="N420" i="3"/>
  <c r="M420" i="3"/>
  <c r="L420" i="3"/>
  <c r="N419" i="3"/>
  <c r="J418" i="3"/>
  <c r="K413" i="3"/>
  <c r="K412" i="3"/>
  <c r="N410" i="3"/>
  <c r="N408" i="3" s="1"/>
  <c r="M410" i="3"/>
  <c r="L410" i="3"/>
  <c r="P409" i="3"/>
  <c r="O409" i="3"/>
  <c r="N407" i="3"/>
  <c r="N405" i="3" s="1"/>
  <c r="M407" i="3"/>
  <c r="L407" i="3"/>
  <c r="P406" i="3"/>
  <c r="O406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P397" i="3" s="1"/>
  <c r="L397" i="3"/>
  <c r="O397" i="3" s="1"/>
  <c r="P396" i="3"/>
  <c r="O396" i="3"/>
  <c r="N394" i="3"/>
  <c r="N392" i="3" s="1"/>
  <c r="M394" i="3"/>
  <c r="L394" i="3"/>
  <c r="O394" i="3" s="1"/>
  <c r="P393" i="3"/>
  <c r="O393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P352" i="3"/>
  <c r="O352" i="3"/>
  <c r="N350" i="3"/>
  <c r="N348" i="3" s="1"/>
  <c r="M350" i="3"/>
  <c r="M348" i="3" s="1"/>
  <c r="L350" i="3"/>
  <c r="L348" i="3" s="1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P335" i="3"/>
  <c r="O335" i="3"/>
  <c r="N333" i="3"/>
  <c r="M333" i="3"/>
  <c r="L333" i="3"/>
  <c r="L331" i="3" s="1"/>
  <c r="P332" i="3"/>
  <c r="O332" i="3"/>
  <c r="O329" i="3"/>
  <c r="N329" i="3"/>
  <c r="M329" i="3"/>
  <c r="P329" i="3" s="1"/>
  <c r="L329" i="3"/>
  <c r="I327" i="3"/>
  <c r="I325" i="3"/>
  <c r="K325" i="3" s="1"/>
  <c r="N323" i="3"/>
  <c r="N321" i="3" s="1"/>
  <c r="M323" i="3"/>
  <c r="P323" i="3" s="1"/>
  <c r="L323" i="3"/>
  <c r="O323" i="3" s="1"/>
  <c r="P322" i="3"/>
  <c r="O322" i="3"/>
  <c r="N320" i="3"/>
  <c r="N318" i="3" s="1"/>
  <c r="M320" i="3"/>
  <c r="L320" i="3"/>
  <c r="O320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N306" i="3"/>
  <c r="N304" i="3" s="1"/>
  <c r="M306" i="3"/>
  <c r="M304" i="3" s="1"/>
  <c r="P304" i="3" s="1"/>
  <c r="L306" i="3"/>
  <c r="P305" i="3"/>
  <c r="O305" i="3"/>
  <c r="N303" i="3"/>
  <c r="N301" i="3" s="1"/>
  <c r="M303" i="3"/>
  <c r="M301" i="3" s="1"/>
  <c r="L303" i="3"/>
  <c r="P302" i="3"/>
  <c r="O302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J275" i="3" s="1"/>
  <c r="I287" i="3"/>
  <c r="K287" i="3" s="1"/>
  <c r="N285" i="3"/>
  <c r="N283" i="3" s="1"/>
  <c r="M285" i="3"/>
  <c r="L285" i="3"/>
  <c r="P284" i="3"/>
  <c r="O284" i="3"/>
  <c r="N282" i="3"/>
  <c r="M282" i="3"/>
  <c r="L282" i="3"/>
  <c r="L280" i="3" s="1"/>
  <c r="P281" i="3"/>
  <c r="O281" i="3"/>
  <c r="P278" i="3"/>
  <c r="N278" i="3"/>
  <c r="M278" i="3"/>
  <c r="L278" i="3"/>
  <c r="O278" i="3" s="1"/>
  <c r="J276" i="3"/>
  <c r="I271" i="3"/>
  <c r="K271" i="3" s="1"/>
  <c r="N269" i="3"/>
  <c r="N267" i="3" s="1"/>
  <c r="M269" i="3"/>
  <c r="P269" i="3" s="1"/>
  <c r="L269" i="3"/>
  <c r="P268" i="3"/>
  <c r="O268" i="3"/>
  <c r="N266" i="3"/>
  <c r="M266" i="3"/>
  <c r="M264" i="3" s="1"/>
  <c r="L266" i="3"/>
  <c r="P265" i="3"/>
  <c r="O265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N227" i="3" s="1"/>
  <c r="J248" i="3"/>
  <c r="K247" i="3"/>
  <c r="K246" i="3"/>
  <c r="I244" i="3"/>
  <c r="L242" i="3"/>
  <c r="L241" i="3"/>
  <c r="L240" i="3"/>
  <c r="L239" i="3"/>
  <c r="P238" i="3"/>
  <c r="N238" i="3"/>
  <c r="J237" i="3"/>
  <c r="J226" i="3" s="1"/>
  <c r="J180" i="3" s="1"/>
  <c r="J236" i="3"/>
  <c r="I236" i="3"/>
  <c r="K236" i="3" s="1"/>
  <c r="K235" i="3"/>
  <c r="J235" i="3"/>
  <c r="I235" i="3"/>
  <c r="J233" i="3"/>
  <c r="N231" i="3"/>
  <c r="N230" i="3"/>
  <c r="N229" i="3"/>
  <c r="N228" i="3"/>
  <c r="I225" i="3"/>
  <c r="K225" i="3" s="1"/>
  <c r="I224" i="3"/>
  <c r="I216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I190" i="3" s="1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N184" i="3" s="1"/>
  <c r="M186" i="3"/>
  <c r="M184" i="3" s="1"/>
  <c r="L186" i="3"/>
  <c r="P185" i="3"/>
  <c r="O185" i="3"/>
  <c r="P182" i="3"/>
  <c r="O182" i="3"/>
  <c r="N182" i="3"/>
  <c r="M182" i="3"/>
  <c r="L182" i="3"/>
  <c r="J177" i="3"/>
  <c r="I176" i="3"/>
  <c r="K176" i="3" s="1"/>
  <c r="J174" i="3"/>
  <c r="N173" i="3"/>
  <c r="N171" i="3" s="1"/>
  <c r="M173" i="3"/>
  <c r="P173" i="3" s="1"/>
  <c r="L173" i="3"/>
  <c r="O173" i="3" s="1"/>
  <c r="P172" i="3"/>
  <c r="O172" i="3"/>
  <c r="N170" i="3"/>
  <c r="N168" i="3" s="1"/>
  <c r="M170" i="3"/>
  <c r="L170" i="3"/>
  <c r="L168" i="3" s="1"/>
  <c r="P169" i="3"/>
  <c r="O169" i="3"/>
  <c r="O166" i="3"/>
  <c r="N166" i="3"/>
  <c r="M166" i="3"/>
  <c r="L166" i="3"/>
  <c r="J164" i="3"/>
  <c r="I159" i="3"/>
  <c r="I148" i="3" s="1"/>
  <c r="K148" i="3" s="1"/>
  <c r="N157" i="3"/>
  <c r="N155" i="3" s="1"/>
  <c r="M157" i="3"/>
  <c r="P157" i="3" s="1"/>
  <c r="L157" i="3"/>
  <c r="P156" i="3"/>
  <c r="O156" i="3"/>
  <c r="N154" i="3"/>
  <c r="N152" i="3" s="1"/>
  <c r="M154" i="3"/>
  <c r="P154" i="3" s="1"/>
  <c r="L154" i="3"/>
  <c r="P153" i="3"/>
  <c r="O153" i="3"/>
  <c r="O150" i="3"/>
  <c r="N150" i="3"/>
  <c r="M150" i="3"/>
  <c r="L150" i="3"/>
  <c r="J148" i="3"/>
  <c r="I146" i="3"/>
  <c r="K146" i="3" s="1"/>
  <c r="I145" i="3"/>
  <c r="I143" i="3" s="1"/>
  <c r="I144" i="3"/>
  <c r="K144" i="3" s="1"/>
  <c r="N140" i="3"/>
  <c r="N138" i="3" s="1"/>
  <c r="M140" i="3"/>
  <c r="M138" i="3" s="1"/>
  <c r="P138" i="3" s="1"/>
  <c r="L140" i="3"/>
  <c r="L138" i="3" s="1"/>
  <c r="O138" i="3" s="1"/>
  <c r="P139" i="3"/>
  <c r="O139" i="3"/>
  <c r="N137" i="3"/>
  <c r="M137" i="3"/>
  <c r="M135" i="3" s="1"/>
  <c r="P135" i="3" s="1"/>
  <c r="L137" i="3"/>
  <c r="P136" i="3"/>
  <c r="O136" i="3"/>
  <c r="P133" i="3"/>
  <c r="O133" i="3"/>
  <c r="N133" i="3"/>
  <c r="M133" i="3"/>
  <c r="L133" i="3"/>
  <c r="J130" i="3"/>
  <c r="N127" i="3"/>
  <c r="N125" i="3" s="1"/>
  <c r="M127" i="3"/>
  <c r="P127" i="3" s="1"/>
  <c r="L127" i="3"/>
  <c r="P126" i="3"/>
  <c r="O126" i="3"/>
  <c r="N124" i="3"/>
  <c r="N122" i="3" s="1"/>
  <c r="M124" i="3"/>
  <c r="P124" i="3" s="1"/>
  <c r="L124" i="3"/>
  <c r="P123" i="3"/>
  <c r="O123" i="3"/>
  <c r="O120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I87" i="3" s="1"/>
  <c r="K87" i="3" s="1"/>
  <c r="J98" i="3"/>
  <c r="J86" i="3" s="1"/>
  <c r="I98" i="3"/>
  <c r="K98" i="3" s="1"/>
  <c r="N96" i="3"/>
  <c r="N94" i="3" s="1"/>
  <c r="M96" i="3"/>
  <c r="P96" i="3" s="1"/>
  <c r="L96" i="3"/>
  <c r="O96" i="3" s="1"/>
  <c r="P95" i="3"/>
  <c r="O95" i="3"/>
  <c r="N93" i="3"/>
  <c r="N91" i="3" s="1"/>
  <c r="M93" i="3"/>
  <c r="L93" i="3"/>
  <c r="L91" i="3" s="1"/>
  <c r="P92" i="3"/>
  <c r="O92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65" i="3" s="1"/>
  <c r="J76" i="3"/>
  <c r="N74" i="3"/>
  <c r="M74" i="3"/>
  <c r="M72" i="3" s="1"/>
  <c r="P72" i="3" s="1"/>
  <c r="L74" i="3"/>
  <c r="O74" i="3" s="1"/>
  <c r="P73" i="3"/>
  <c r="O73" i="3"/>
  <c r="N71" i="3"/>
  <c r="N69" i="3" s="1"/>
  <c r="M71" i="3"/>
  <c r="M69" i="3" s="1"/>
  <c r="L71" i="3"/>
  <c r="L69" i="3" s="1"/>
  <c r="P70" i="3"/>
  <c r="O70" i="3"/>
  <c r="P67" i="3"/>
  <c r="O67" i="3"/>
  <c r="N67" i="3"/>
  <c r="M67" i="3"/>
  <c r="L67" i="3"/>
  <c r="J64" i="3"/>
  <c r="N61" i="3"/>
  <c r="M61" i="3"/>
  <c r="M59" i="3" s="1"/>
  <c r="L61" i="3"/>
  <c r="L59" i="3" s="1"/>
  <c r="P60" i="3"/>
  <c r="O60" i="3"/>
  <c r="N58" i="3"/>
  <c r="M58" i="3"/>
  <c r="M56" i="3" s="1"/>
  <c r="L58" i="3"/>
  <c r="P57" i="3"/>
  <c r="O57" i="3"/>
  <c r="P54" i="3"/>
  <c r="N54" i="3"/>
  <c r="M54" i="3"/>
  <c r="L54" i="3"/>
  <c r="O54" i="3" s="1"/>
  <c r="N49" i="3"/>
  <c r="M49" i="3"/>
  <c r="P49" i="3" s="1"/>
  <c r="L49" i="3"/>
  <c r="O49" i="3" s="1"/>
  <c r="P48" i="3"/>
  <c r="O48" i="3"/>
  <c r="N46" i="3"/>
  <c r="N44" i="3" s="1"/>
  <c r="M46" i="3"/>
  <c r="M44" i="3" s="1"/>
  <c r="L46" i="3"/>
  <c r="P45" i="3"/>
  <c r="O45" i="3"/>
  <c r="O42" i="3"/>
  <c r="N42" i="3"/>
  <c r="M42" i="3"/>
  <c r="L42" i="3"/>
  <c r="P36" i="3"/>
  <c r="N36" i="3"/>
  <c r="M36" i="3"/>
  <c r="O35" i="3"/>
  <c r="N35" i="3"/>
  <c r="M35" i="3"/>
  <c r="P35" i="3" s="1"/>
  <c r="L35" i="3"/>
  <c r="N34" i="3"/>
  <c r="N33" i="3"/>
  <c r="P32" i="3"/>
  <c r="N32" i="3"/>
  <c r="N29" i="3" s="1"/>
  <c r="N28" i="3" s="1"/>
  <c r="M32" i="3"/>
  <c r="L32" i="3"/>
  <c r="N30" i="3"/>
  <c r="M29" i="3"/>
  <c r="P29" i="3" s="1"/>
  <c r="P25" i="3"/>
  <c r="N25" i="3"/>
  <c r="N15" i="3" s="1"/>
  <c r="M25" i="3"/>
  <c r="L25" i="3"/>
  <c r="O22" i="3"/>
  <c r="N22" i="3"/>
  <c r="M22" i="3"/>
  <c r="P22" i="3" s="1"/>
  <c r="L22" i="3"/>
  <c r="N19" i="3"/>
  <c r="L19" i="3"/>
  <c r="M15" i="3"/>
  <c r="P15" i="3" s="1"/>
  <c r="N12" i="3"/>
  <c r="L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P809" i="2"/>
  <c r="O809" i="2"/>
  <c r="O808" i="2"/>
  <c r="N808" i="2"/>
  <c r="M808" i="2"/>
  <c r="P808" i="2" s="1"/>
  <c r="L808" i="2"/>
  <c r="N807" i="2"/>
  <c r="N805" i="2" s="1"/>
  <c r="M807" i="2"/>
  <c r="P807" i="2" s="1"/>
  <c r="L807" i="2"/>
  <c r="O807" i="2" s="1"/>
  <c r="N806" i="2"/>
  <c r="M806" i="2"/>
  <c r="L806" i="2"/>
  <c r="O806" i="2" s="1"/>
  <c r="L805" i="2"/>
  <c r="O805" i="2" s="1"/>
  <c r="K804" i="2"/>
  <c r="J804" i="2"/>
  <c r="K802" i="2"/>
  <c r="J801" i="2"/>
  <c r="J800" i="2"/>
  <c r="J785" i="2" s="1"/>
  <c r="I800" i="2"/>
  <c r="P798" i="2"/>
  <c r="O798" i="2"/>
  <c r="P797" i="2"/>
  <c r="O797" i="2"/>
  <c r="P796" i="2"/>
  <c r="O796" i="2"/>
  <c r="N796" i="2"/>
  <c r="M796" i="2"/>
  <c r="L796" i="2"/>
  <c r="P791" i="2"/>
  <c r="N791" i="2"/>
  <c r="L791" i="2"/>
  <c r="O791" i="2" s="1"/>
  <c r="P790" i="2"/>
  <c r="O790" i="2"/>
  <c r="M789" i="2"/>
  <c r="P789" i="2" s="1"/>
  <c r="M788" i="2"/>
  <c r="P788" i="2" s="1"/>
  <c r="N787" i="2"/>
  <c r="M787" i="2"/>
  <c r="L787" i="2"/>
  <c r="O787" i="2" s="1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P774" i="2"/>
  <c r="O774" i="2"/>
  <c r="P773" i="2"/>
  <c r="O773" i="2"/>
  <c r="N773" i="2"/>
  <c r="M773" i="2"/>
  <c r="L773" i="2"/>
  <c r="O772" i="2"/>
  <c r="N772" i="2"/>
  <c r="M772" i="2"/>
  <c r="P772" i="2" s="1"/>
  <c r="L772" i="2"/>
  <c r="N771" i="2"/>
  <c r="N770" i="2" s="1"/>
  <c r="M771" i="2"/>
  <c r="P771" i="2" s="1"/>
  <c r="L771" i="2"/>
  <c r="O771" i="2" s="1"/>
  <c r="L770" i="2"/>
  <c r="O770" i="2" s="1"/>
  <c r="K769" i="2"/>
  <c r="J769" i="2"/>
  <c r="P766" i="2"/>
  <c r="O766" i="2"/>
  <c r="P765" i="2"/>
  <c r="O765" i="2"/>
  <c r="P764" i="2"/>
  <c r="N764" i="2"/>
  <c r="M764" i="2"/>
  <c r="L764" i="2"/>
  <c r="O764" i="2" s="1"/>
  <c r="P759" i="2"/>
  <c r="O759" i="2"/>
  <c r="N759" i="2"/>
  <c r="P758" i="2"/>
  <c r="O758" i="2"/>
  <c r="P757" i="2"/>
  <c r="O757" i="2"/>
  <c r="N757" i="2"/>
  <c r="M757" i="2"/>
  <c r="L757" i="2"/>
  <c r="O756" i="2"/>
  <c r="N756" i="2"/>
  <c r="M756" i="2"/>
  <c r="P756" i="2" s="1"/>
  <c r="L756" i="2"/>
  <c r="N755" i="2"/>
  <c r="M755" i="2"/>
  <c r="P755" i="2" s="1"/>
  <c r="L755" i="2"/>
  <c r="O755" i="2" s="1"/>
  <c r="M754" i="2"/>
  <c r="P754" i="2" s="1"/>
  <c r="L754" i="2"/>
  <c r="O754" i="2" s="1"/>
  <c r="K753" i="2"/>
  <c r="J753" i="2"/>
  <c r="P749" i="2"/>
  <c r="O749" i="2"/>
  <c r="P748" i="2"/>
  <c r="O748" i="2"/>
  <c r="N747" i="2"/>
  <c r="M747" i="2"/>
  <c r="P747" i="2" s="1"/>
  <c r="L747" i="2"/>
  <c r="O747" i="2" s="1"/>
  <c r="P742" i="2"/>
  <c r="O742" i="2"/>
  <c r="N742" i="2"/>
  <c r="P741" i="2"/>
  <c r="O741" i="2"/>
  <c r="P740" i="2"/>
  <c r="O740" i="2"/>
  <c r="N740" i="2"/>
  <c r="M740" i="2"/>
  <c r="L740" i="2"/>
  <c r="O739" i="2"/>
  <c r="N739" i="2"/>
  <c r="M739" i="2"/>
  <c r="P739" i="2" s="1"/>
  <c r="L739" i="2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N690" i="2"/>
  <c r="N688" i="2" s="1"/>
  <c r="L690" i="2"/>
  <c r="O690" i="2" s="1"/>
  <c r="N687" i="2"/>
  <c r="O686" i="2"/>
  <c r="N686" i="2"/>
  <c r="M686" i="2"/>
  <c r="P686" i="2" s="1"/>
  <c r="L686" i="2"/>
  <c r="J679" i="2"/>
  <c r="J678" i="2"/>
  <c r="I678" i="2"/>
  <c r="K678" i="2" s="1"/>
  <c r="J675" i="2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4" i="2"/>
  <c r="N660" i="2"/>
  <c r="L660" i="2"/>
  <c r="M660" i="2" s="1"/>
  <c r="M657" i="2" s="1"/>
  <c r="P657" i="2" s="1"/>
  <c r="P659" i="2"/>
  <c r="O659" i="2"/>
  <c r="N658" i="2"/>
  <c r="N657" i="2"/>
  <c r="N656" i="2"/>
  <c r="M656" i="2"/>
  <c r="L656" i="2"/>
  <c r="O656" i="2" s="1"/>
  <c r="K652" i="2"/>
  <c r="J652" i="2"/>
  <c r="J651" i="2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N639" i="2"/>
  <c r="M639" i="2"/>
  <c r="P639" i="2" s="1"/>
  <c r="N638" i="2"/>
  <c r="N634" i="2" s="1"/>
  <c r="L634" i="2"/>
  <c r="L632" i="2" s="1"/>
  <c r="P633" i="2"/>
  <c r="O633" i="2"/>
  <c r="P630" i="2"/>
  <c r="N630" i="2"/>
  <c r="M630" i="2"/>
  <c r="L630" i="2"/>
  <c r="O630" i="2" s="1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4" i="2"/>
  <c r="I594" i="2"/>
  <c r="J593" i="2"/>
  <c r="I593" i="2"/>
  <c r="K593" i="2" s="1"/>
  <c r="J592" i="2"/>
  <c r="J583" i="2"/>
  <c r="J582" i="2"/>
  <c r="J577" i="2"/>
  <c r="I577" i="2"/>
  <c r="K577" i="2" s="1"/>
  <c r="J576" i="2"/>
  <c r="I576" i="2"/>
  <c r="K576" i="2" s="1"/>
  <c r="J569" i="2"/>
  <c r="I569" i="2"/>
  <c r="J568" i="2"/>
  <c r="I568" i="2"/>
  <c r="K568" i="2" s="1"/>
  <c r="J561" i="2"/>
  <c r="I561" i="2"/>
  <c r="J560" i="2"/>
  <c r="I560" i="2"/>
  <c r="K560" i="2" s="1"/>
  <c r="J559" i="2"/>
  <c r="J543" i="2" s="1"/>
  <c r="P557" i="2"/>
  <c r="L557" i="2"/>
  <c r="L555" i="2" s="1"/>
  <c r="O555" i="2" s="1"/>
  <c r="P556" i="2"/>
  <c r="O556" i="2"/>
  <c r="P555" i="2"/>
  <c r="N555" i="2"/>
  <c r="M555" i="2"/>
  <c r="N553" i="2"/>
  <c r="N549" i="2" s="1"/>
  <c r="L549" i="2"/>
  <c r="O549" i="2" s="1"/>
  <c r="P548" i="2"/>
  <c r="O548" i="2"/>
  <c r="P545" i="2"/>
  <c r="O545" i="2"/>
  <c r="N545" i="2"/>
  <c r="M545" i="2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P535" i="2"/>
  <c r="L535" i="2"/>
  <c r="O535" i="2" s="1"/>
  <c r="P534" i="2"/>
  <c r="O534" i="2"/>
  <c r="P533" i="2"/>
  <c r="N533" i="2"/>
  <c r="M533" i="2"/>
  <c r="L533" i="2"/>
  <c r="O533" i="2" s="1"/>
  <c r="N532" i="2"/>
  <c r="N529" i="2"/>
  <c r="L528" i="2"/>
  <c r="P527" i="2"/>
  <c r="O527" i="2"/>
  <c r="P524" i="2"/>
  <c r="N524" i="2"/>
  <c r="M524" i="2"/>
  <c r="L524" i="2"/>
  <c r="O524" i="2" s="1"/>
  <c r="K517" i="2"/>
  <c r="J517" i="2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N505" i="2" s="1"/>
  <c r="P506" i="2"/>
  <c r="O506" i="2"/>
  <c r="P505" i="2"/>
  <c r="M505" i="2"/>
  <c r="L505" i="2"/>
  <c r="O505" i="2" s="1"/>
  <c r="P504" i="2"/>
  <c r="O504" i="2"/>
  <c r="N504" i="2"/>
  <c r="M504" i="2"/>
  <c r="L504" i="2"/>
  <c r="O503" i="2"/>
  <c r="N503" i="2"/>
  <c r="N502" i="2" s="1"/>
  <c r="M503" i="2"/>
  <c r="P503" i="2" s="1"/>
  <c r="L503" i="2"/>
  <c r="M502" i="2"/>
  <c r="P502" i="2" s="1"/>
  <c r="L502" i="2"/>
  <c r="O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N477" i="2"/>
  <c r="M477" i="2"/>
  <c r="P477" i="2" s="1"/>
  <c r="N476" i="2"/>
  <c r="N472" i="2" s="1"/>
  <c r="L472" i="2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K462" i="2" s="1"/>
  <c r="I460" i="2"/>
  <c r="K458" i="2"/>
  <c r="P456" i="2"/>
  <c r="L456" i="2"/>
  <c r="L454" i="2" s="1"/>
  <c r="O454" i="2" s="1"/>
  <c r="P455" i="2"/>
  <c r="O455" i="2"/>
  <c r="P454" i="2"/>
  <c r="N454" i="2"/>
  <c r="M454" i="2"/>
  <c r="N453" i="2"/>
  <c r="N449" i="2" s="1"/>
  <c r="L449" i="2"/>
  <c r="O449" i="2" s="1"/>
  <c r="P448" i="2"/>
  <c r="O448" i="2"/>
  <c r="P445" i="2"/>
  <c r="O445" i="2"/>
  <c r="N445" i="2"/>
  <c r="M445" i="2"/>
  <c r="L445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I435" i="2"/>
  <c r="K435" i="2" s="1"/>
  <c r="J434" i="2"/>
  <c r="P431" i="2"/>
  <c r="L431" i="2"/>
  <c r="L429" i="2" s="1"/>
  <c r="O429" i="2" s="1"/>
  <c r="P430" i="2"/>
  <c r="O430" i="2"/>
  <c r="N429" i="2"/>
  <c r="M429" i="2"/>
  <c r="P429" i="2" s="1"/>
  <c r="N428" i="2"/>
  <c r="N425" i="2"/>
  <c r="N424" i="2"/>
  <c r="N421" i="2" s="1"/>
  <c r="L424" i="2"/>
  <c r="L422" i="2" s="1"/>
  <c r="P423" i="2"/>
  <c r="O423" i="2"/>
  <c r="N422" i="2"/>
  <c r="N420" i="2"/>
  <c r="M420" i="2"/>
  <c r="L420" i="2"/>
  <c r="O420" i="2" s="1"/>
  <c r="J418" i="2"/>
  <c r="K413" i="2"/>
  <c r="K412" i="2"/>
  <c r="N410" i="2"/>
  <c r="N408" i="2" s="1"/>
  <c r="M410" i="2"/>
  <c r="P410" i="2" s="1"/>
  <c r="L410" i="2"/>
  <c r="O410" i="2" s="1"/>
  <c r="P409" i="2"/>
  <c r="O409" i="2"/>
  <c r="N407" i="2"/>
  <c r="N405" i="2" s="1"/>
  <c r="M407" i="2"/>
  <c r="P407" i="2" s="1"/>
  <c r="L407" i="2"/>
  <c r="P406" i="2"/>
  <c r="O406" i="2"/>
  <c r="P403" i="2"/>
  <c r="N403" i="2"/>
  <c r="M403" i="2"/>
  <c r="L403" i="2"/>
  <c r="O403" i="2" s="1"/>
  <c r="J401" i="2"/>
  <c r="I401" i="2"/>
  <c r="K401" i="2" s="1"/>
  <c r="K400" i="2"/>
  <c r="K399" i="2"/>
  <c r="N397" i="2"/>
  <c r="N395" i="2" s="1"/>
  <c r="M397" i="2"/>
  <c r="L397" i="2"/>
  <c r="O397" i="2" s="1"/>
  <c r="P396" i="2"/>
  <c r="O396" i="2"/>
  <c r="N394" i="2"/>
  <c r="M394" i="2"/>
  <c r="L394" i="2"/>
  <c r="O394" i="2" s="1"/>
  <c r="P393" i="2"/>
  <c r="O393" i="2"/>
  <c r="N390" i="2"/>
  <c r="M390" i="2"/>
  <c r="L390" i="2"/>
  <c r="O390" i="2" s="1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M350" i="2"/>
  <c r="L350" i="2"/>
  <c r="L348" i="2" s="1"/>
  <c r="P349" i="2"/>
  <c r="O349" i="2"/>
  <c r="N346" i="2"/>
  <c r="M346" i="2"/>
  <c r="L346" i="2"/>
  <c r="O346" i="2" s="1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M331" i="2" s="1"/>
  <c r="L333" i="2"/>
  <c r="P332" i="2"/>
  <c r="O332" i="2"/>
  <c r="O329" i="2"/>
  <c r="N329" i="2"/>
  <c r="M329" i="2"/>
  <c r="L329" i="2"/>
  <c r="I327" i="2"/>
  <c r="I325" i="2"/>
  <c r="K325" i="2" s="1"/>
  <c r="N323" i="2"/>
  <c r="N321" i="2" s="1"/>
  <c r="M323" i="2"/>
  <c r="M321" i="2" s="1"/>
  <c r="P321" i="2" s="1"/>
  <c r="L323" i="2"/>
  <c r="P322" i="2"/>
  <c r="O322" i="2"/>
  <c r="N320" i="2"/>
  <c r="N318" i="2" s="1"/>
  <c r="M320" i="2"/>
  <c r="L320" i="2"/>
  <c r="P319" i="2"/>
  <c r="O319" i="2"/>
  <c r="N316" i="2"/>
  <c r="M316" i="2"/>
  <c r="L316" i="2"/>
  <c r="J314" i="2"/>
  <c r="I312" i="2"/>
  <c r="K312" i="2" s="1"/>
  <c r="I311" i="2"/>
  <c r="K311" i="2" s="1"/>
  <c r="I310" i="2"/>
  <c r="K310" i="2" s="1"/>
  <c r="I309" i="2"/>
  <c r="I297" i="2" s="1"/>
  <c r="K297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L303" i="2"/>
  <c r="L301" i="2" s="1"/>
  <c r="O301" i="2" s="1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M283" i="2" s="1"/>
  <c r="P283" i="2" s="1"/>
  <c r="L285" i="2"/>
  <c r="O285" i="2" s="1"/>
  <c r="P284" i="2"/>
  <c r="O284" i="2"/>
  <c r="N282" i="2"/>
  <c r="M282" i="2"/>
  <c r="M280" i="2" s="1"/>
  <c r="L282" i="2"/>
  <c r="P281" i="2"/>
  <c r="O281" i="2"/>
  <c r="P278" i="2"/>
  <c r="O278" i="2"/>
  <c r="N278" i="2"/>
  <c r="M278" i="2"/>
  <c r="L278" i="2"/>
  <c r="J276" i="2"/>
  <c r="I271" i="2"/>
  <c r="K271" i="2" s="1"/>
  <c r="N269" i="2"/>
  <c r="N267" i="2" s="1"/>
  <c r="M269" i="2"/>
  <c r="P269" i="2" s="1"/>
  <c r="L269" i="2"/>
  <c r="L267" i="2" s="1"/>
  <c r="O267" i="2" s="1"/>
  <c r="P268" i="2"/>
  <c r="O268" i="2"/>
  <c r="N266" i="2"/>
  <c r="M266" i="2"/>
  <c r="L266" i="2"/>
  <c r="L264" i="2" s="1"/>
  <c r="P265" i="2"/>
  <c r="O265" i="2"/>
  <c r="O262" i="2"/>
  <c r="N262" i="2"/>
  <c r="M262" i="2"/>
  <c r="P262" i="2" s="1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36" i="2"/>
  <c r="I236" i="2"/>
  <c r="K236" i="2" s="1"/>
  <c r="K235" i="2"/>
  <c r="J235" i="2"/>
  <c r="I235" i="2"/>
  <c r="J233" i="2"/>
  <c r="N231" i="2"/>
  <c r="N230" i="2"/>
  <c r="N229" i="2"/>
  <c r="N228" i="2"/>
  <c r="J226" i="2"/>
  <c r="J180" i="2" s="1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I197" i="2" s="1"/>
  <c r="K197" i="2" s="1"/>
  <c r="L202" i="2"/>
  <c r="L201" i="2"/>
  <c r="L200" i="2"/>
  <c r="L199" i="2"/>
  <c r="P198" i="2"/>
  <c r="N198" i="2"/>
  <c r="J197" i="2"/>
  <c r="J194" i="2"/>
  <c r="I193" i="2"/>
  <c r="I190" i="2" s="1"/>
  <c r="P191" i="2"/>
  <c r="L191" i="2"/>
  <c r="O191" i="2" s="1"/>
  <c r="J190" i="2"/>
  <c r="N189" i="2"/>
  <c r="N187" i="2" s="1"/>
  <c r="M189" i="2"/>
  <c r="P189" i="2" s="1"/>
  <c r="L189" i="2"/>
  <c r="P188" i="2"/>
  <c r="O188" i="2"/>
  <c r="N186" i="2"/>
  <c r="M186" i="2"/>
  <c r="M184" i="2" s="1"/>
  <c r="L186" i="2"/>
  <c r="P185" i="2"/>
  <c r="O185" i="2"/>
  <c r="N182" i="2"/>
  <c r="M182" i="2"/>
  <c r="L182" i="2"/>
  <c r="O182" i="2" s="1"/>
  <c r="J177" i="2"/>
  <c r="I176" i="2"/>
  <c r="J174" i="2"/>
  <c r="N173" i="2"/>
  <c r="N171" i="2" s="1"/>
  <c r="M173" i="2"/>
  <c r="L173" i="2"/>
  <c r="P172" i="2"/>
  <c r="O172" i="2"/>
  <c r="N170" i="2"/>
  <c r="M170" i="2"/>
  <c r="M168" i="2" s="1"/>
  <c r="L170" i="2"/>
  <c r="P169" i="2"/>
  <c r="O169" i="2"/>
  <c r="N166" i="2"/>
  <c r="M166" i="2"/>
  <c r="L166" i="2"/>
  <c r="O166" i="2" s="1"/>
  <c r="J164" i="2"/>
  <c r="I159" i="2"/>
  <c r="K159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M152" i="2" s="1"/>
  <c r="L154" i="2"/>
  <c r="L152" i="2" s="1"/>
  <c r="P153" i="2"/>
  <c r="O153" i="2"/>
  <c r="O150" i="2"/>
  <c r="N150" i="2"/>
  <c r="M150" i="2"/>
  <c r="P150" i="2" s="1"/>
  <c r="L150" i="2"/>
  <c r="J148" i="2"/>
  <c r="I146" i="2"/>
  <c r="I130" i="2" s="1"/>
  <c r="K130" i="2" s="1"/>
  <c r="I145" i="2"/>
  <c r="K145" i="2" s="1"/>
  <c r="I144" i="2"/>
  <c r="N140" i="2"/>
  <c r="N138" i="2" s="1"/>
  <c r="M140" i="2"/>
  <c r="P140" i="2" s="1"/>
  <c r="L140" i="2"/>
  <c r="O140" i="2" s="1"/>
  <c r="P139" i="2"/>
  <c r="O139" i="2"/>
  <c r="N137" i="2"/>
  <c r="N135" i="2" s="1"/>
  <c r="M137" i="2"/>
  <c r="P137" i="2" s="1"/>
  <c r="L137" i="2"/>
  <c r="O137" i="2" s="1"/>
  <c r="P136" i="2"/>
  <c r="O136" i="2"/>
  <c r="P133" i="2"/>
  <c r="N133" i="2"/>
  <c r="M133" i="2"/>
  <c r="L133" i="2"/>
  <c r="J130" i="2"/>
  <c r="N127" i="2"/>
  <c r="N125" i="2" s="1"/>
  <c r="M127" i="2"/>
  <c r="P127" i="2" s="1"/>
  <c r="L127" i="2"/>
  <c r="L125" i="2" s="1"/>
  <c r="O125" i="2" s="1"/>
  <c r="P126" i="2"/>
  <c r="O126" i="2"/>
  <c r="N124" i="2"/>
  <c r="N122" i="2" s="1"/>
  <c r="M124" i="2"/>
  <c r="L124" i="2"/>
  <c r="L122" i="2" s="1"/>
  <c r="O122" i="2" s="1"/>
  <c r="P123" i="2"/>
  <c r="O123" i="2"/>
  <c r="O120" i="2"/>
  <c r="N120" i="2"/>
  <c r="M120" i="2"/>
  <c r="P120" i="2" s="1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I87" i="2" s="1"/>
  <c r="K87" i="2" s="1"/>
  <c r="J98" i="2"/>
  <c r="J86" i="2" s="1"/>
  <c r="I98" i="2"/>
  <c r="I86" i="2" s="1"/>
  <c r="K86" i="2" s="1"/>
  <c r="N96" i="2"/>
  <c r="M96" i="2"/>
  <c r="P96" i="2" s="1"/>
  <c r="L96" i="2"/>
  <c r="O96" i="2" s="1"/>
  <c r="P95" i="2"/>
  <c r="O95" i="2"/>
  <c r="N93" i="2"/>
  <c r="N91" i="2" s="1"/>
  <c r="M93" i="2"/>
  <c r="M91" i="2" s="1"/>
  <c r="L93" i="2"/>
  <c r="L91" i="2" s="1"/>
  <c r="P92" i="2"/>
  <c r="O92" i="2"/>
  <c r="N89" i="2"/>
  <c r="M89" i="2"/>
  <c r="L89" i="2"/>
  <c r="O89" i="2" s="1"/>
  <c r="J87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76" i="2"/>
  <c r="J64" i="2" s="1"/>
  <c r="N74" i="2"/>
  <c r="N72" i="2" s="1"/>
  <c r="M74" i="2"/>
  <c r="P74" i="2" s="1"/>
  <c r="L74" i="2"/>
  <c r="O74" i="2" s="1"/>
  <c r="P73" i="2"/>
  <c r="O73" i="2"/>
  <c r="N71" i="2"/>
  <c r="N69" i="2" s="1"/>
  <c r="M71" i="2"/>
  <c r="L71" i="2"/>
  <c r="O71" i="2" s="1"/>
  <c r="P70" i="2"/>
  <c r="O70" i="2"/>
  <c r="P67" i="2"/>
  <c r="O67" i="2"/>
  <c r="N67" i="2"/>
  <c r="M67" i="2"/>
  <c r="L67" i="2"/>
  <c r="J65" i="2"/>
  <c r="N61" i="2"/>
  <c r="M61" i="2"/>
  <c r="M59" i="2" s="1"/>
  <c r="P59" i="2" s="1"/>
  <c r="L61" i="2"/>
  <c r="O61" i="2" s="1"/>
  <c r="P60" i="2"/>
  <c r="O60" i="2"/>
  <c r="N58" i="2"/>
  <c r="N56" i="2" s="1"/>
  <c r="M58" i="2"/>
  <c r="M56" i="2" s="1"/>
  <c r="L58" i="2"/>
  <c r="P57" i="2"/>
  <c r="O57" i="2"/>
  <c r="N54" i="2"/>
  <c r="M54" i="2"/>
  <c r="P54" i="2" s="1"/>
  <c r="L54" i="2"/>
  <c r="O54" i="2" s="1"/>
  <c r="N49" i="2"/>
  <c r="N47" i="2" s="1"/>
  <c r="M49" i="2"/>
  <c r="L49" i="2"/>
  <c r="O49" i="2" s="1"/>
  <c r="P48" i="2"/>
  <c r="O48" i="2"/>
  <c r="N46" i="2"/>
  <c r="M46" i="2"/>
  <c r="M44" i="2" s="1"/>
  <c r="L46" i="2"/>
  <c r="P45" i="2"/>
  <c r="O45" i="2"/>
  <c r="P42" i="2"/>
  <c r="O42" i="2"/>
  <c r="N42" i="2"/>
  <c r="M42" i="2"/>
  <c r="L42" i="2"/>
  <c r="N36" i="2"/>
  <c r="M36" i="2"/>
  <c r="P36" i="2" s="1"/>
  <c r="N35" i="2"/>
  <c r="N34" i="2" s="1"/>
  <c r="M35" i="2"/>
  <c r="P35" i="2" s="1"/>
  <c r="L35" i="2"/>
  <c r="O35" i="2" s="1"/>
  <c r="P32" i="2"/>
  <c r="O32" i="2"/>
  <c r="N32" i="2"/>
  <c r="N29" i="2" s="1"/>
  <c r="M32" i="2"/>
  <c r="L32" i="2"/>
  <c r="M29" i="2"/>
  <c r="P29" i="2" s="1"/>
  <c r="L29" i="2"/>
  <c r="O29" i="2" s="1"/>
  <c r="P25" i="2"/>
  <c r="O25" i="2"/>
  <c r="N25" i="2"/>
  <c r="N15" i="2" s="1"/>
  <c r="M25" i="2"/>
  <c r="L25" i="2"/>
  <c r="N22" i="2"/>
  <c r="M22" i="2"/>
  <c r="P22" i="2" s="1"/>
  <c r="L22" i="2"/>
  <c r="O22" i="2" s="1"/>
  <c r="M15" i="2"/>
  <c r="P15" i="2" s="1"/>
  <c r="L15" i="2"/>
  <c r="O15" i="2" s="1"/>
  <c r="N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P807" i="1"/>
  <c r="N807" i="1"/>
  <c r="M807" i="1"/>
  <c r="L807" i="1"/>
  <c r="O807" i="1" s="1"/>
  <c r="O806" i="1"/>
  <c r="N806" i="1"/>
  <c r="M806" i="1"/>
  <c r="P806" i="1" s="1"/>
  <c r="L806" i="1"/>
  <c r="L805" i="1" s="1"/>
  <c r="O805" i="1" s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O796" i="1"/>
  <c r="N796" i="1"/>
  <c r="M796" i="1"/>
  <c r="P796" i="1" s="1"/>
  <c r="L796" i="1"/>
  <c r="N795" i="1"/>
  <c r="N794" i="1"/>
  <c r="N793" i="1"/>
  <c r="N792" i="1"/>
  <c r="M791" i="1"/>
  <c r="M789" i="1" s="1"/>
  <c r="L791" i="1"/>
  <c r="P790" i="1"/>
  <c r="O790" i="1"/>
  <c r="P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N772" i="1" s="1"/>
  <c r="P774" i="1"/>
  <c r="O774" i="1"/>
  <c r="O773" i="1"/>
  <c r="N773" i="1"/>
  <c r="M773" i="1"/>
  <c r="P773" i="1" s="1"/>
  <c r="L773" i="1"/>
  <c r="M772" i="1"/>
  <c r="P772" i="1" s="1"/>
  <c r="L772" i="1"/>
  <c r="O772" i="1" s="1"/>
  <c r="O771" i="1"/>
  <c r="N771" i="1"/>
  <c r="M771" i="1"/>
  <c r="L771" i="1"/>
  <c r="L770" i="1" s="1"/>
  <c r="O770" i="1" s="1"/>
  <c r="N770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P758" i="1"/>
  <c r="O758" i="1"/>
  <c r="O757" i="1"/>
  <c r="M757" i="1"/>
  <c r="P757" i="1" s="1"/>
  <c r="L757" i="1"/>
  <c r="M756" i="1"/>
  <c r="P756" i="1" s="1"/>
  <c r="L756" i="1"/>
  <c r="O756" i="1" s="1"/>
  <c r="O755" i="1"/>
  <c r="N755" i="1"/>
  <c r="M755" i="1"/>
  <c r="L755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P741" i="1"/>
  <c r="O741" i="1"/>
  <c r="O740" i="1"/>
  <c r="M740" i="1"/>
  <c r="P740" i="1" s="1"/>
  <c r="L740" i="1"/>
  <c r="P739" i="1"/>
  <c r="M739" i="1"/>
  <c r="L739" i="1"/>
  <c r="O739" i="1" s="1"/>
  <c r="O738" i="1"/>
  <c r="N738" i="1"/>
  <c r="M738" i="1"/>
  <c r="M737" i="1" s="1"/>
  <c r="P737" i="1" s="1"/>
  <c r="L738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M690" i="1"/>
  <c r="M687" i="1" s="1"/>
  <c r="L690" i="1"/>
  <c r="P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L660" i="1"/>
  <c r="L658" i="1" s="1"/>
  <c r="P659" i="1"/>
  <c r="O659" i="1"/>
  <c r="P656" i="1"/>
  <c r="N656" i="1"/>
  <c r="M656" i="1"/>
  <c r="L656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39" i="1"/>
  <c r="M639" i="1"/>
  <c r="P639" i="1" s="1"/>
  <c r="N638" i="1"/>
  <c r="N637" i="1"/>
  <c r="N636" i="1"/>
  <c r="N635" i="1"/>
  <c r="M634" i="1"/>
  <c r="M631" i="1" s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N545" i="1" s="1"/>
  <c r="M555" i="1"/>
  <c r="N554" i="1"/>
  <c r="N553" i="1"/>
  <c r="N552" i="1"/>
  <c r="N551" i="1"/>
  <c r="N550" i="1"/>
  <c r="M549" i="1"/>
  <c r="M546" i="1" s="1"/>
  <c r="L549" i="1"/>
  <c r="L547" i="1" s="1"/>
  <c r="P548" i="1"/>
  <c r="O548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L533" i="1" s="1"/>
  <c r="O533" i="1" s="1"/>
  <c r="P534" i="1"/>
  <c r="O534" i="1"/>
  <c r="P533" i="1"/>
  <c r="N533" i="1"/>
  <c r="M533" i="1"/>
  <c r="N532" i="1"/>
  <c r="N531" i="1"/>
  <c r="N530" i="1"/>
  <c r="N529" i="1"/>
  <c r="M528" i="1"/>
  <c r="L528" i="1"/>
  <c r="P527" i="1"/>
  <c r="O527" i="1"/>
  <c r="N524" i="1"/>
  <c r="M524" i="1"/>
  <c r="P524" i="1" s="1"/>
  <c r="L524" i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N505" i="1"/>
  <c r="M505" i="1"/>
  <c r="P505" i="1" s="1"/>
  <c r="L505" i="1"/>
  <c r="O505" i="1" s="1"/>
  <c r="N504" i="1"/>
  <c r="M504" i="1"/>
  <c r="P504" i="1" s="1"/>
  <c r="L504" i="1"/>
  <c r="O504" i="1" s="1"/>
  <c r="P503" i="1"/>
  <c r="N503" i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M472" i="1"/>
  <c r="L472" i="1"/>
  <c r="L470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7" i="1" s="1"/>
  <c r="L449" i="1"/>
  <c r="L447" i="1" s="1"/>
  <c r="P448" i="1"/>
  <c r="O448" i="1"/>
  <c r="O445" i="1"/>
  <c r="N445" i="1"/>
  <c r="M445" i="1"/>
  <c r="P445" i="1" s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O431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P407" i="1" s="1"/>
  <c r="L407" i="1"/>
  <c r="O407" i="1" s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M395" i="1" s="1"/>
  <c r="P395" i="1" s="1"/>
  <c r="L397" i="1"/>
  <c r="O397" i="1" s="1"/>
  <c r="P396" i="1"/>
  <c r="O396" i="1"/>
  <c r="N394" i="1"/>
  <c r="M394" i="1"/>
  <c r="P394" i="1" s="1"/>
  <c r="L394" i="1"/>
  <c r="L392" i="1" s="1"/>
  <c r="O392" i="1" s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P352" i="1"/>
  <c r="O352" i="1"/>
  <c r="N350" i="1"/>
  <c r="N348" i="1" s="1"/>
  <c r="M350" i="1"/>
  <c r="M348" i="1" s="1"/>
  <c r="L350" i="1"/>
  <c r="P349" i="1"/>
  <c r="O349" i="1"/>
  <c r="N346" i="1"/>
  <c r="M346" i="1"/>
  <c r="P346" i="1" s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P335" i="1"/>
  <c r="O335" i="1"/>
  <c r="N333" i="1"/>
  <c r="M333" i="1"/>
  <c r="L333" i="1"/>
  <c r="L331" i="1" s="1"/>
  <c r="P332" i="1"/>
  <c r="O332" i="1"/>
  <c r="P329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O323" i="1" s="1"/>
  <c r="P322" i="1"/>
  <c r="O322" i="1"/>
  <c r="N320" i="1"/>
  <c r="N318" i="1" s="1"/>
  <c r="M320" i="1"/>
  <c r="L320" i="1"/>
  <c r="L318" i="1" s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J308" i="1"/>
  <c r="N306" i="1"/>
  <c r="M306" i="1"/>
  <c r="P306" i="1" s="1"/>
  <c r="L306" i="1"/>
  <c r="O306" i="1" s="1"/>
  <c r="P305" i="1"/>
  <c r="O305" i="1"/>
  <c r="N303" i="1"/>
  <c r="M303" i="1"/>
  <c r="M301" i="1" s="1"/>
  <c r="L303" i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I276" i="1" s="1"/>
  <c r="N285" i="1"/>
  <c r="M285" i="1"/>
  <c r="P285" i="1" s="1"/>
  <c r="L285" i="1"/>
  <c r="O285" i="1" s="1"/>
  <c r="P284" i="1"/>
  <c r="O284" i="1"/>
  <c r="N282" i="1"/>
  <c r="M282" i="1"/>
  <c r="M280" i="1" s="1"/>
  <c r="L282" i="1"/>
  <c r="L280" i="1" s="1"/>
  <c r="P281" i="1"/>
  <c r="O281" i="1"/>
  <c r="P278" i="1"/>
  <c r="O278" i="1"/>
  <c r="N278" i="1"/>
  <c r="M278" i="1"/>
  <c r="L278" i="1"/>
  <c r="J271" i="1"/>
  <c r="J260" i="1" s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M264" i="1" s="1"/>
  <c r="L266" i="1"/>
  <c r="P265" i="1"/>
  <c r="O265" i="1"/>
  <c r="P262" i="1"/>
  <c r="N262" i="1"/>
  <c r="M262" i="1"/>
  <c r="L262" i="1"/>
  <c r="O262" i="1" s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M187" i="1" s="1"/>
  <c r="P187" i="1" s="1"/>
  <c r="L189" i="1"/>
  <c r="O189" i="1" s="1"/>
  <c r="P188" i="1"/>
  <c r="O188" i="1"/>
  <c r="N186" i="1"/>
  <c r="M186" i="1"/>
  <c r="M184" i="1" s="1"/>
  <c r="L186" i="1"/>
  <c r="P185" i="1"/>
  <c r="O185" i="1"/>
  <c r="N182" i="1"/>
  <c r="M182" i="1"/>
  <c r="L182" i="1"/>
  <c r="J177" i="1"/>
  <c r="J176" i="1"/>
  <c r="J174" i="1" s="1"/>
  <c r="I176" i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O166" i="1"/>
  <c r="N166" i="1"/>
  <c r="M166" i="1"/>
  <c r="L166" i="1"/>
  <c r="J159" i="1"/>
  <c r="J148" i="1" s="1"/>
  <c r="I159" i="1"/>
  <c r="I148" i="1" s="1"/>
  <c r="N157" i="1"/>
  <c r="N155" i="1" s="1"/>
  <c r="M157" i="1"/>
  <c r="P157" i="1" s="1"/>
  <c r="L157" i="1"/>
  <c r="O157" i="1" s="1"/>
  <c r="P156" i="1"/>
  <c r="O156" i="1"/>
  <c r="N154" i="1"/>
  <c r="N152" i="1" s="1"/>
  <c r="M154" i="1"/>
  <c r="M152" i="1" s="1"/>
  <c r="L154" i="1"/>
  <c r="P153" i="1"/>
  <c r="O153" i="1"/>
  <c r="P150" i="1"/>
  <c r="N150" i="1"/>
  <c r="M150" i="1"/>
  <c r="L150" i="1"/>
  <c r="O150" i="1" s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M137" i="1"/>
  <c r="M135" i="1" s="1"/>
  <c r="L137" i="1"/>
  <c r="L135" i="1" s="1"/>
  <c r="P136" i="1"/>
  <c r="O136" i="1"/>
  <c r="N133" i="1"/>
  <c r="M133" i="1"/>
  <c r="P133" i="1" s="1"/>
  <c r="L133" i="1"/>
  <c r="N127" i="1"/>
  <c r="N125" i="1" s="1"/>
  <c r="M127" i="1"/>
  <c r="M125" i="1" s="1"/>
  <c r="L127" i="1"/>
  <c r="L125" i="1" s="1"/>
  <c r="P126" i="1"/>
  <c r="O126" i="1"/>
  <c r="N124" i="1"/>
  <c r="M124" i="1"/>
  <c r="P124" i="1" s="1"/>
  <c r="L124" i="1"/>
  <c r="L122" i="1" s="1"/>
  <c r="O122" i="1" s="1"/>
  <c r="P123" i="1"/>
  <c r="O123" i="1"/>
  <c r="P120" i="1"/>
  <c r="O120" i="1"/>
  <c r="N120" i="1"/>
  <c r="M120" i="1"/>
  <c r="L120" i="1"/>
  <c r="J118" i="1"/>
  <c r="I118" i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L94" i="1" s="1"/>
  <c r="O94" i="1" s="1"/>
  <c r="P95" i="1"/>
  <c r="O95" i="1"/>
  <c r="N93" i="1"/>
  <c r="M93" i="1"/>
  <c r="L93" i="1"/>
  <c r="L91" i="1" s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M71" i="1"/>
  <c r="L71" i="1"/>
  <c r="P70" i="1"/>
  <c r="O70" i="1"/>
  <c r="P67" i="1"/>
  <c r="O67" i="1"/>
  <c r="N67" i="1"/>
  <c r="M67" i="1"/>
  <c r="L67" i="1"/>
  <c r="N61" i="1"/>
  <c r="N59" i="1" s="1"/>
  <c r="M61" i="1"/>
  <c r="L61" i="1"/>
  <c r="L59" i="1" s="1"/>
  <c r="P60" i="1"/>
  <c r="O60" i="1"/>
  <c r="N58" i="1"/>
  <c r="M58" i="1"/>
  <c r="M56" i="1" s="1"/>
  <c r="L58" i="1"/>
  <c r="L56" i="1" s="1"/>
  <c r="P57" i="1"/>
  <c r="O57" i="1"/>
  <c r="N54" i="1"/>
  <c r="M54" i="1"/>
  <c r="P54" i="1" s="1"/>
  <c r="L54" i="1"/>
  <c r="N49" i="1"/>
  <c r="N47" i="1" s="1"/>
  <c r="M49" i="1"/>
  <c r="P49" i="1" s="1"/>
  <c r="L49" i="1"/>
  <c r="O49" i="1" s="1"/>
  <c r="P48" i="1"/>
  <c r="O48" i="1"/>
  <c r="N46" i="1"/>
  <c r="N44" i="1" s="1"/>
  <c r="M46" i="1"/>
  <c r="L46" i="1"/>
  <c r="L44" i="1" s="1"/>
  <c r="P45" i="1"/>
  <c r="O45" i="1"/>
  <c r="P42" i="1"/>
  <c r="O42" i="1"/>
  <c r="N42" i="1"/>
  <c r="M42" i="1"/>
  <c r="L42" i="1"/>
  <c r="N36" i="1"/>
  <c r="M36" i="1"/>
  <c r="P36" i="1" s="1"/>
  <c r="N35" i="1"/>
  <c r="N34" i="1" s="1"/>
  <c r="M35" i="1"/>
  <c r="M34" i="1" s="1"/>
  <c r="L35" i="1"/>
  <c r="O35" i="1" s="1"/>
  <c r="P34" i="1"/>
  <c r="O32" i="1"/>
  <c r="N32" i="1"/>
  <c r="M32" i="1"/>
  <c r="L32" i="1"/>
  <c r="N29" i="1"/>
  <c r="L29" i="1"/>
  <c r="O29" i="1" s="1"/>
  <c r="P25" i="1"/>
  <c r="O25" i="1"/>
  <c r="N25" i="1"/>
  <c r="M25" i="1"/>
  <c r="L25" i="1"/>
  <c r="P22" i="1"/>
  <c r="N22" i="1"/>
  <c r="M22" i="1"/>
  <c r="L22" i="1"/>
  <c r="O22" i="1" s="1"/>
  <c r="M19" i="1"/>
  <c r="P19" i="1" s="1"/>
  <c r="N15" i="1"/>
  <c r="M15" i="1"/>
  <c r="P15" i="1" s="1"/>
  <c r="L15" i="1"/>
  <c r="O15" i="1" s="1"/>
  <c r="M12" i="1"/>
  <c r="O404" i="21" l="1"/>
  <c r="L402" i="21"/>
  <c r="O402" i="21" s="1"/>
  <c r="K722" i="20"/>
  <c r="M55" i="18"/>
  <c r="L36" i="19"/>
  <c r="O36" i="19" s="1"/>
  <c r="O69" i="20"/>
  <c r="N152" i="20"/>
  <c r="O154" i="20"/>
  <c r="N44" i="21"/>
  <c r="P46" i="21"/>
  <c r="O69" i="21"/>
  <c r="O280" i="21"/>
  <c r="J288" i="21"/>
  <c r="J275" i="21" s="1"/>
  <c r="K275" i="21" s="1"/>
  <c r="K309" i="21"/>
  <c r="N321" i="21"/>
  <c r="L331" i="21"/>
  <c r="O331" i="21" s="1"/>
  <c r="O350" i="21"/>
  <c r="K355" i="21"/>
  <c r="N404" i="21"/>
  <c r="K460" i="21"/>
  <c r="M690" i="21"/>
  <c r="J721" i="21"/>
  <c r="K801" i="21"/>
  <c r="N90" i="19"/>
  <c r="N88" i="19" s="1"/>
  <c r="N151" i="19"/>
  <c r="O157" i="19"/>
  <c r="L167" i="20"/>
  <c r="K370" i="20"/>
  <c r="K379" i="20"/>
  <c r="L405" i="20"/>
  <c r="O405" i="20" s="1"/>
  <c r="I522" i="20"/>
  <c r="K522" i="20" s="1"/>
  <c r="L555" i="20"/>
  <c r="O555" i="20" s="1"/>
  <c r="M634" i="20"/>
  <c r="M631" i="20" s="1"/>
  <c r="P631" i="20" s="1"/>
  <c r="L688" i="20"/>
  <c r="M23" i="21"/>
  <c r="M26" i="21"/>
  <c r="L47" i="21"/>
  <c r="O47" i="21" s="1"/>
  <c r="N69" i="21"/>
  <c r="P71" i="21"/>
  <c r="M88" i="21"/>
  <c r="P90" i="21"/>
  <c r="P93" i="21"/>
  <c r="O137" i="21"/>
  <c r="L231" i="21"/>
  <c r="K260" i="21"/>
  <c r="M264" i="21"/>
  <c r="O266" i="21"/>
  <c r="N280" i="21"/>
  <c r="K288" i="21"/>
  <c r="M331" i="21"/>
  <c r="P331" i="21" s="1"/>
  <c r="K338" i="21"/>
  <c r="P350" i="21"/>
  <c r="K369" i="21"/>
  <c r="K465" i="21"/>
  <c r="I522" i="21"/>
  <c r="K522" i="21" s="1"/>
  <c r="O641" i="21"/>
  <c r="K821" i="21"/>
  <c r="K824" i="21"/>
  <c r="K827" i="21"/>
  <c r="L632" i="18"/>
  <c r="L687" i="18"/>
  <c r="O687" i="18" s="1"/>
  <c r="L217" i="20"/>
  <c r="O217" i="20" s="1"/>
  <c r="P266" i="20"/>
  <c r="O303" i="20"/>
  <c r="L41" i="21"/>
  <c r="M43" i="21"/>
  <c r="L72" i="21"/>
  <c r="O72" i="21" s="1"/>
  <c r="N88" i="21"/>
  <c r="M94" i="21"/>
  <c r="P94" i="21" s="1"/>
  <c r="M134" i="21"/>
  <c r="P134" i="21" s="1"/>
  <c r="M168" i="21"/>
  <c r="N167" i="21"/>
  <c r="N165" i="21" s="1"/>
  <c r="L184" i="21"/>
  <c r="O184" i="21" s="1"/>
  <c r="L198" i="21"/>
  <c r="O198" i="21" s="1"/>
  <c r="L283" i="21"/>
  <c r="O283" i="21" s="1"/>
  <c r="O333" i="21"/>
  <c r="L631" i="21"/>
  <c r="O690" i="21"/>
  <c r="P69" i="21"/>
  <c r="I190" i="17"/>
  <c r="K190" i="17" s="1"/>
  <c r="O69" i="19"/>
  <c r="K672" i="19"/>
  <c r="L55" i="20"/>
  <c r="L53" i="20" s="1"/>
  <c r="O353" i="20"/>
  <c r="K355" i="20"/>
  <c r="I433" i="20"/>
  <c r="I417" i="20" s="1"/>
  <c r="I443" i="20"/>
  <c r="K443" i="20" s="1"/>
  <c r="M449" i="20"/>
  <c r="M446" i="20" s="1"/>
  <c r="M444" i="20" s="1"/>
  <c r="L470" i="20"/>
  <c r="K649" i="20"/>
  <c r="L33" i="21"/>
  <c r="M41" i="21"/>
  <c r="N43" i="21"/>
  <c r="P49" i="21"/>
  <c r="M55" i="21"/>
  <c r="O58" i="21"/>
  <c r="O61" i="21"/>
  <c r="L66" i="21"/>
  <c r="M68" i="21"/>
  <c r="P68" i="21" s="1"/>
  <c r="M121" i="21"/>
  <c r="P121" i="21" s="1"/>
  <c r="O154" i="21"/>
  <c r="P184" i="21"/>
  <c r="L217" i="21"/>
  <c r="O217" i="21" s="1"/>
  <c r="M318" i="21"/>
  <c r="P318" i="21" s="1"/>
  <c r="M634" i="21"/>
  <c r="L688" i="21"/>
  <c r="K822" i="21"/>
  <c r="K825" i="21"/>
  <c r="K828" i="21"/>
  <c r="O44" i="21"/>
  <c r="I442" i="18"/>
  <c r="P71" i="19"/>
  <c r="P154" i="20"/>
  <c r="P186" i="20"/>
  <c r="K215" i="20"/>
  <c r="P282" i="20"/>
  <c r="J433" i="20"/>
  <c r="K700" i="20"/>
  <c r="L36" i="21"/>
  <c r="O36" i="21" s="1"/>
  <c r="P44" i="21"/>
  <c r="N55" i="21"/>
  <c r="N53" i="21" s="1"/>
  <c r="O53" i="21" s="1"/>
  <c r="P56" i="21"/>
  <c r="N68" i="21"/>
  <c r="I87" i="21"/>
  <c r="M167" i="21"/>
  <c r="L238" i="21"/>
  <c r="N261" i="21"/>
  <c r="P261" i="21" s="1"/>
  <c r="O269" i="21"/>
  <c r="L300" i="21"/>
  <c r="P320" i="21"/>
  <c r="N347" i="21"/>
  <c r="P347" i="21" s="1"/>
  <c r="K362" i="21"/>
  <c r="I785" i="21"/>
  <c r="N347" i="20"/>
  <c r="N348" i="20"/>
  <c r="P348" i="20" s="1"/>
  <c r="O397" i="20"/>
  <c r="L395" i="20"/>
  <c r="O395" i="20" s="1"/>
  <c r="P634" i="20"/>
  <c r="O29" i="21"/>
  <c r="O35" i="21"/>
  <c r="L34" i="21"/>
  <c r="O34" i="21" s="1"/>
  <c r="J143" i="21"/>
  <c r="J131" i="21" s="1"/>
  <c r="K145" i="21"/>
  <c r="I143" i="21"/>
  <c r="N283" i="21"/>
  <c r="N279" i="21"/>
  <c r="N328" i="21"/>
  <c r="O328" i="21" s="1"/>
  <c r="P330" i="21"/>
  <c r="O330" i="21"/>
  <c r="K434" i="21"/>
  <c r="I418" i="21"/>
  <c r="K418" i="21" s="1"/>
  <c r="J433" i="21"/>
  <c r="J417" i="21" s="1"/>
  <c r="K439" i="21"/>
  <c r="P545" i="21"/>
  <c r="K559" i="21"/>
  <c r="I543" i="21"/>
  <c r="K543" i="21" s="1"/>
  <c r="P807" i="21"/>
  <c r="M805" i="21"/>
  <c r="P805" i="21" s="1"/>
  <c r="P46" i="17"/>
  <c r="O280" i="18"/>
  <c r="L688" i="18"/>
  <c r="K801" i="18"/>
  <c r="L68" i="19"/>
  <c r="L66" i="19" s="1"/>
  <c r="L238" i="19"/>
  <c r="P285" i="19"/>
  <c r="K385" i="19"/>
  <c r="M405" i="19"/>
  <c r="P405" i="19" s="1"/>
  <c r="M472" i="19"/>
  <c r="M470" i="19" s="1"/>
  <c r="L469" i="19"/>
  <c r="O469" i="19" s="1"/>
  <c r="K821" i="19"/>
  <c r="K824" i="19"/>
  <c r="K827" i="19"/>
  <c r="L56" i="20"/>
  <c r="O56" i="20" s="1"/>
  <c r="L94" i="20"/>
  <c r="O94" i="20" s="1"/>
  <c r="M121" i="20"/>
  <c r="M119" i="20" s="1"/>
  <c r="P119" i="20" s="1"/>
  <c r="N135" i="20"/>
  <c r="J143" i="20"/>
  <c r="J131" i="20" s="1"/>
  <c r="L187" i="20"/>
  <c r="O187" i="20" s="1"/>
  <c r="O266" i="20"/>
  <c r="L280" i="20"/>
  <c r="O282" i="20"/>
  <c r="L300" i="20"/>
  <c r="P306" i="20"/>
  <c r="M304" i="20"/>
  <c r="P304" i="20" s="1"/>
  <c r="N330" i="20"/>
  <c r="P351" i="20"/>
  <c r="K100" i="21"/>
  <c r="P150" i="21"/>
  <c r="M149" i="21"/>
  <c r="P149" i="21" s="1"/>
  <c r="P186" i="21"/>
  <c r="M183" i="21"/>
  <c r="P183" i="21" s="1"/>
  <c r="I208" i="21"/>
  <c r="K208" i="21" s="1"/>
  <c r="P329" i="21"/>
  <c r="M328" i="21"/>
  <c r="M334" i="18"/>
  <c r="P334" i="18" s="1"/>
  <c r="M69" i="19"/>
  <c r="O71" i="19"/>
  <c r="O348" i="19"/>
  <c r="P58" i="20"/>
  <c r="N121" i="20"/>
  <c r="N119" i="20" s="1"/>
  <c r="M300" i="20"/>
  <c r="M298" i="20" s="1"/>
  <c r="L304" i="20"/>
  <c r="O304" i="20" s="1"/>
  <c r="P54" i="21"/>
  <c r="M53" i="21"/>
  <c r="P53" i="21" s="1"/>
  <c r="N59" i="21"/>
  <c r="O59" i="21" s="1"/>
  <c r="N26" i="21"/>
  <c r="P167" i="21"/>
  <c r="P403" i="21"/>
  <c r="M402" i="21"/>
  <c r="P402" i="21" s="1"/>
  <c r="I237" i="19"/>
  <c r="K378" i="19"/>
  <c r="L546" i="19"/>
  <c r="L544" i="19" s="1"/>
  <c r="O544" i="19" s="1"/>
  <c r="L44" i="20"/>
  <c r="O44" i="20" s="1"/>
  <c r="P46" i="20"/>
  <c r="M152" i="20"/>
  <c r="P152" i="20" s="1"/>
  <c r="O184" i="20"/>
  <c r="M280" i="20"/>
  <c r="P280" i="20" s="1"/>
  <c r="K340" i="20"/>
  <c r="L15" i="21"/>
  <c r="M20" i="21"/>
  <c r="M21" i="21"/>
  <c r="I76" i="21"/>
  <c r="K87" i="21"/>
  <c r="K86" i="21"/>
  <c r="I112" i="21"/>
  <c r="K112" i="21" s="1"/>
  <c r="M280" i="21"/>
  <c r="P280" i="21" s="1"/>
  <c r="P282" i="21"/>
  <c r="M279" i="21"/>
  <c r="P279" i="21" s="1"/>
  <c r="O44" i="19"/>
  <c r="N167" i="19"/>
  <c r="N165" i="19" s="1"/>
  <c r="K374" i="19"/>
  <c r="P44" i="20"/>
  <c r="I148" i="20"/>
  <c r="L168" i="20"/>
  <c r="L249" i="20"/>
  <c r="O249" i="20" s="1"/>
  <c r="M263" i="20"/>
  <c r="M261" i="20" s="1"/>
  <c r="I314" i="20"/>
  <c r="K314" i="20" s="1"/>
  <c r="O55" i="21"/>
  <c r="O170" i="21"/>
  <c r="L167" i="21"/>
  <c r="K193" i="21"/>
  <c r="I190" i="21"/>
  <c r="K190" i="21" s="1"/>
  <c r="O238" i="21"/>
  <c r="K244" i="21"/>
  <c r="I237" i="21"/>
  <c r="I233" i="21"/>
  <c r="K233" i="21" s="1"/>
  <c r="O262" i="21"/>
  <c r="P264" i="21"/>
  <c r="P301" i="21"/>
  <c r="N301" i="21"/>
  <c r="O301" i="21" s="1"/>
  <c r="N300" i="21"/>
  <c r="O300" i="21" s="1"/>
  <c r="O323" i="21"/>
  <c r="L321" i="21"/>
  <c r="O321" i="21" s="1"/>
  <c r="K327" i="21"/>
  <c r="K370" i="18"/>
  <c r="O127" i="19"/>
  <c r="L317" i="19"/>
  <c r="L47" i="20"/>
  <c r="O47" i="20" s="1"/>
  <c r="I77" i="20"/>
  <c r="K148" i="20"/>
  <c r="N168" i="20"/>
  <c r="L171" i="20"/>
  <c r="O171" i="20" s="1"/>
  <c r="M183" i="20"/>
  <c r="M267" i="20"/>
  <c r="P267" i="20" s="1"/>
  <c r="M321" i="20"/>
  <c r="P321" i="20" s="1"/>
  <c r="N404" i="20"/>
  <c r="N405" i="20"/>
  <c r="O456" i="20"/>
  <c r="L446" i="20"/>
  <c r="K675" i="20"/>
  <c r="K672" i="20"/>
  <c r="O22" i="21"/>
  <c r="L19" i="21"/>
  <c r="L12" i="21"/>
  <c r="P36" i="21"/>
  <c r="M34" i="21"/>
  <c r="P34" i="21" s="1"/>
  <c r="P55" i="21"/>
  <c r="O90" i="21"/>
  <c r="L88" i="21"/>
  <c r="O88" i="21" s="1"/>
  <c r="L91" i="21"/>
  <c r="L23" i="21"/>
  <c r="L21" i="21" s="1"/>
  <c r="O93" i="21"/>
  <c r="L94" i="21"/>
  <c r="O94" i="21" s="1"/>
  <c r="O96" i="21"/>
  <c r="L26" i="21"/>
  <c r="N122" i="21"/>
  <c r="N121" i="21"/>
  <c r="N119" i="21" s="1"/>
  <c r="L168" i="21"/>
  <c r="O168" i="21" s="1"/>
  <c r="M277" i="21"/>
  <c r="L298" i="21"/>
  <c r="L231" i="20"/>
  <c r="P353" i="20"/>
  <c r="K378" i="20"/>
  <c r="N391" i="20"/>
  <c r="I592" i="20"/>
  <c r="K592" i="20" s="1"/>
  <c r="K823" i="20"/>
  <c r="K826" i="20"/>
  <c r="M9" i="21"/>
  <c r="M15" i="21"/>
  <c r="N23" i="21"/>
  <c r="P23" i="21" s="1"/>
  <c r="M29" i="21"/>
  <c r="N91" i="21"/>
  <c r="P91" i="21" s="1"/>
  <c r="K98" i="21"/>
  <c r="O124" i="21"/>
  <c r="M132" i="21"/>
  <c r="P132" i="21" s="1"/>
  <c r="L149" i="21"/>
  <c r="O149" i="21" s="1"/>
  <c r="P168" i="21"/>
  <c r="P173" i="21"/>
  <c r="L183" i="21"/>
  <c r="O183" i="21" s="1"/>
  <c r="M298" i="21"/>
  <c r="O303" i="21"/>
  <c r="L315" i="21"/>
  <c r="O315" i="21" s="1"/>
  <c r="P333" i="21"/>
  <c r="J374" i="21"/>
  <c r="J364" i="21" s="1"/>
  <c r="K381" i="21"/>
  <c r="N402" i="21"/>
  <c r="O788" i="21"/>
  <c r="L786" i="21"/>
  <c r="O786" i="21" s="1"/>
  <c r="P407" i="20"/>
  <c r="P58" i="21"/>
  <c r="P61" i="21"/>
  <c r="O121" i="21"/>
  <c r="P124" i="21"/>
  <c r="M152" i="21"/>
  <c r="P152" i="21" s="1"/>
  <c r="I174" i="21"/>
  <c r="P263" i="21"/>
  <c r="P285" i="21"/>
  <c r="M304" i="21"/>
  <c r="P304" i="21" s="1"/>
  <c r="M315" i="21"/>
  <c r="P315" i="21" s="1"/>
  <c r="O424" i="21"/>
  <c r="L421" i="21"/>
  <c r="M424" i="21"/>
  <c r="L444" i="21"/>
  <c r="P469" i="21"/>
  <c r="M467" i="21"/>
  <c r="P467" i="21" s="1"/>
  <c r="N525" i="21"/>
  <c r="N523" i="21" s="1"/>
  <c r="N526" i="21"/>
  <c r="O771" i="21"/>
  <c r="L770" i="21"/>
  <c r="O770" i="21" s="1"/>
  <c r="M629" i="20"/>
  <c r="I77" i="21"/>
  <c r="M181" i="21"/>
  <c r="P181" i="21" s="1"/>
  <c r="L249" i="21"/>
  <c r="O249" i="21" s="1"/>
  <c r="O347" i="21"/>
  <c r="K364" i="21"/>
  <c r="N421" i="21"/>
  <c r="N419" i="21" s="1"/>
  <c r="N422" i="21"/>
  <c r="L477" i="21"/>
  <c r="O477" i="21" s="1"/>
  <c r="L469" i="21"/>
  <c r="O469" i="21" s="1"/>
  <c r="O479" i="21"/>
  <c r="O524" i="21"/>
  <c r="P331" i="20"/>
  <c r="L347" i="20"/>
  <c r="K360" i="20"/>
  <c r="L404" i="20"/>
  <c r="O404" i="20" s="1"/>
  <c r="I442" i="20"/>
  <c r="L546" i="20"/>
  <c r="M119" i="21"/>
  <c r="P119" i="21" s="1"/>
  <c r="M165" i="21"/>
  <c r="P165" i="21" s="1"/>
  <c r="L263" i="21"/>
  <c r="O263" i="21" s="1"/>
  <c r="L318" i="21"/>
  <c r="O318" i="21" s="1"/>
  <c r="M345" i="21"/>
  <c r="O394" i="21"/>
  <c r="L391" i="21"/>
  <c r="L429" i="21"/>
  <c r="O429" i="21" s="1"/>
  <c r="L391" i="20"/>
  <c r="O391" i="20" s="1"/>
  <c r="K647" i="20"/>
  <c r="K720" i="20"/>
  <c r="L132" i="21"/>
  <c r="O132" i="21" s="1"/>
  <c r="N227" i="21"/>
  <c r="N298" i="21"/>
  <c r="P303" i="21"/>
  <c r="O306" i="21"/>
  <c r="O348" i="21"/>
  <c r="K359" i="21"/>
  <c r="P394" i="21"/>
  <c r="M391" i="21"/>
  <c r="P391" i="21" s="1"/>
  <c r="L422" i="21"/>
  <c r="O422" i="21" s="1"/>
  <c r="N446" i="21"/>
  <c r="N444" i="21" s="1"/>
  <c r="K576" i="21"/>
  <c r="K592" i="21"/>
  <c r="L658" i="21"/>
  <c r="O658" i="21" s="1"/>
  <c r="O660" i="21"/>
  <c r="M660" i="21"/>
  <c r="P739" i="21"/>
  <c r="M737" i="21"/>
  <c r="P737" i="21" s="1"/>
  <c r="O806" i="21"/>
  <c r="L805" i="21"/>
  <c r="O805" i="21" s="1"/>
  <c r="K360" i="21"/>
  <c r="I433" i="21"/>
  <c r="K443" i="21"/>
  <c r="M546" i="21"/>
  <c r="M547" i="21"/>
  <c r="P549" i="21"/>
  <c r="L657" i="21"/>
  <c r="O688" i="21"/>
  <c r="O738" i="21"/>
  <c r="L737" i="21"/>
  <c r="O737" i="21" s="1"/>
  <c r="N770" i="21"/>
  <c r="L447" i="21"/>
  <c r="O447" i="21" s="1"/>
  <c r="M449" i="21"/>
  <c r="K651" i="21"/>
  <c r="I628" i="21"/>
  <c r="K628" i="21" s="1"/>
  <c r="O686" i="21"/>
  <c r="L685" i="21"/>
  <c r="O685" i="21" s="1"/>
  <c r="P756" i="21"/>
  <c r="M754" i="21"/>
  <c r="P754" i="21" s="1"/>
  <c r="K378" i="21"/>
  <c r="P525" i="21"/>
  <c r="M523" i="21"/>
  <c r="P523" i="21" s="1"/>
  <c r="N546" i="21"/>
  <c r="O546" i="21" s="1"/>
  <c r="N547" i="21"/>
  <c r="K594" i="21"/>
  <c r="O687" i="21"/>
  <c r="K699" i="21"/>
  <c r="O755" i="21"/>
  <c r="L754" i="21"/>
  <c r="O754" i="21" s="1"/>
  <c r="O470" i="21"/>
  <c r="M470" i="21"/>
  <c r="P470" i="21" s="1"/>
  <c r="P472" i="21"/>
  <c r="P772" i="21"/>
  <c r="M770" i="21"/>
  <c r="P770" i="21" s="1"/>
  <c r="L789" i="21"/>
  <c r="O789" i="21" s="1"/>
  <c r="O791" i="21"/>
  <c r="M791" i="21"/>
  <c r="K785" i="21"/>
  <c r="O545" i="21"/>
  <c r="P555" i="21"/>
  <c r="P630" i="21"/>
  <c r="L632" i="21"/>
  <c r="O632" i="21" s="1"/>
  <c r="P690" i="21"/>
  <c r="J537" i="21"/>
  <c r="J522" i="21" s="1"/>
  <c r="L547" i="21"/>
  <c r="O547" i="21" s="1"/>
  <c r="K675" i="21"/>
  <c r="K672" i="21"/>
  <c r="L525" i="21"/>
  <c r="O525" i="21" s="1"/>
  <c r="I654" i="21"/>
  <c r="K654" i="21" s="1"/>
  <c r="K669" i="21"/>
  <c r="N402" i="20"/>
  <c r="J288" i="19"/>
  <c r="J275" i="19" s="1"/>
  <c r="P348" i="19"/>
  <c r="I559" i="19"/>
  <c r="I543" i="19" s="1"/>
  <c r="K593" i="19"/>
  <c r="L26" i="20"/>
  <c r="K79" i="20"/>
  <c r="N91" i="20"/>
  <c r="K144" i="20"/>
  <c r="I216" i="20"/>
  <c r="K216" i="20" s="1"/>
  <c r="N318" i="20"/>
  <c r="N345" i="20"/>
  <c r="O350" i="20"/>
  <c r="N389" i="20"/>
  <c r="M392" i="20"/>
  <c r="P392" i="20" s="1"/>
  <c r="K673" i="20"/>
  <c r="P46" i="19"/>
  <c r="K99" i="19"/>
  <c r="L230" i="19"/>
  <c r="N263" i="19"/>
  <c r="K288" i="19"/>
  <c r="K360" i="19"/>
  <c r="I442" i="19"/>
  <c r="M23" i="20"/>
  <c r="M21" i="20" s="1"/>
  <c r="L33" i="20"/>
  <c r="L36" i="20"/>
  <c r="M55" i="20"/>
  <c r="L59" i="20"/>
  <c r="O59" i="20" s="1"/>
  <c r="O124" i="20"/>
  <c r="O137" i="20"/>
  <c r="L183" i="20"/>
  <c r="L181" i="20" s="1"/>
  <c r="I190" i="20"/>
  <c r="K190" i="20" s="1"/>
  <c r="K244" i="20"/>
  <c r="L264" i="20"/>
  <c r="O264" i="20" s="1"/>
  <c r="L301" i="20"/>
  <c r="O351" i="20"/>
  <c r="K374" i="20"/>
  <c r="K381" i="20"/>
  <c r="N392" i="20"/>
  <c r="O394" i="20"/>
  <c r="L408" i="20"/>
  <c r="O408" i="20" s="1"/>
  <c r="K442" i="20"/>
  <c r="K674" i="20"/>
  <c r="K725" i="20"/>
  <c r="L43" i="19"/>
  <c r="L41" i="19" s="1"/>
  <c r="L231" i="19"/>
  <c r="L263" i="19"/>
  <c r="M279" i="19"/>
  <c r="P279" i="19" s="1"/>
  <c r="L318" i="19"/>
  <c r="O318" i="19" s="1"/>
  <c r="M26" i="20"/>
  <c r="M24" i="20" s="1"/>
  <c r="N55" i="20"/>
  <c r="N53" i="20" s="1"/>
  <c r="O53" i="20" s="1"/>
  <c r="P61" i="20"/>
  <c r="I87" i="20"/>
  <c r="K87" i="20" s="1"/>
  <c r="O127" i="20"/>
  <c r="N132" i="20"/>
  <c r="M167" i="20"/>
  <c r="K208" i="20"/>
  <c r="L238" i="20"/>
  <c r="M264" i="20"/>
  <c r="P264" i="20" s="1"/>
  <c r="O323" i="20"/>
  <c r="O336" i="20"/>
  <c r="J327" i="20"/>
  <c r="J364" i="20"/>
  <c r="K364" i="20" s="1"/>
  <c r="K669" i="20"/>
  <c r="L685" i="20"/>
  <c r="M688" i="20"/>
  <c r="L788" i="20"/>
  <c r="O788" i="20" s="1"/>
  <c r="O154" i="17"/>
  <c r="M404" i="18"/>
  <c r="P404" i="18" s="1"/>
  <c r="O46" i="19"/>
  <c r="I148" i="19"/>
  <c r="K148" i="19" s="1"/>
  <c r="O186" i="19"/>
  <c r="M318" i="19"/>
  <c r="P318" i="19" s="1"/>
  <c r="O394" i="19"/>
  <c r="K699" i="19"/>
  <c r="L31" i="20"/>
  <c r="O31" i="20" s="1"/>
  <c r="N26" i="20"/>
  <c r="N16" i="20" s="1"/>
  <c r="P56" i="20"/>
  <c r="M68" i="20"/>
  <c r="O71" i="20"/>
  <c r="L90" i="20"/>
  <c r="P127" i="20"/>
  <c r="N167" i="20"/>
  <c r="N165" i="20" s="1"/>
  <c r="P184" i="20"/>
  <c r="K276" i="20"/>
  <c r="L317" i="20"/>
  <c r="O317" i="20" s="1"/>
  <c r="K338" i="20"/>
  <c r="O348" i="20"/>
  <c r="O347" i="20"/>
  <c r="K372" i="20"/>
  <c r="M391" i="20"/>
  <c r="M395" i="20"/>
  <c r="P395" i="20" s="1"/>
  <c r="L402" i="20"/>
  <c r="O402" i="20" s="1"/>
  <c r="L544" i="20"/>
  <c r="O549" i="20"/>
  <c r="I654" i="20"/>
  <c r="K654" i="20" s="1"/>
  <c r="K822" i="20"/>
  <c r="K825" i="20"/>
  <c r="K828" i="20"/>
  <c r="M168" i="17"/>
  <c r="P168" i="17" s="1"/>
  <c r="L525" i="18"/>
  <c r="O525" i="18" s="1"/>
  <c r="L229" i="19"/>
  <c r="O331" i="19"/>
  <c r="P353" i="19"/>
  <c r="K359" i="19"/>
  <c r="K362" i="19"/>
  <c r="K823" i="19"/>
  <c r="M43" i="20"/>
  <c r="M41" i="20" s="1"/>
  <c r="N68" i="20"/>
  <c r="N66" i="20" s="1"/>
  <c r="O66" i="20" s="1"/>
  <c r="P69" i="20"/>
  <c r="L121" i="20"/>
  <c r="O121" i="20" s="1"/>
  <c r="N183" i="20"/>
  <c r="N181" i="20" s="1"/>
  <c r="I233" i="20"/>
  <c r="K233" i="20" s="1"/>
  <c r="P350" i="20"/>
  <c r="M16" i="20"/>
  <c r="P336" i="19"/>
  <c r="M334" i="19"/>
  <c r="P334" i="19" s="1"/>
  <c r="L789" i="19"/>
  <c r="O789" i="19" s="1"/>
  <c r="L788" i="19"/>
  <c r="O788" i="19" s="1"/>
  <c r="I112" i="20"/>
  <c r="K112" i="20" s="1"/>
  <c r="K116" i="20"/>
  <c r="J288" i="20"/>
  <c r="J275" i="20" s="1"/>
  <c r="I275" i="20"/>
  <c r="M447" i="20"/>
  <c r="P447" i="20" s="1"/>
  <c r="P449" i="20"/>
  <c r="O470" i="20"/>
  <c r="K651" i="20"/>
  <c r="I628" i="20"/>
  <c r="K628" i="20" s="1"/>
  <c r="O806" i="20"/>
  <c r="L805" i="20"/>
  <c r="O805" i="20" s="1"/>
  <c r="N404" i="18"/>
  <c r="N402" i="18" s="1"/>
  <c r="L533" i="18"/>
  <c r="O533" i="18" s="1"/>
  <c r="I76" i="19"/>
  <c r="I112" i="19"/>
  <c r="K112" i="19" s="1"/>
  <c r="L183" i="19"/>
  <c r="P186" i="19"/>
  <c r="I208" i="19"/>
  <c r="I248" i="19"/>
  <c r="K248" i="19" s="1"/>
  <c r="O285" i="19"/>
  <c r="P333" i="19"/>
  <c r="M331" i="19"/>
  <c r="P331" i="19" s="1"/>
  <c r="L404" i="19"/>
  <c r="O404" i="19" s="1"/>
  <c r="L470" i="19"/>
  <c r="O535" i="19"/>
  <c r="M15" i="20"/>
  <c r="N23" i="20"/>
  <c r="L24" i="20"/>
  <c r="M29" i="20"/>
  <c r="N43" i="20"/>
  <c r="N41" i="20" s="1"/>
  <c r="I65" i="20"/>
  <c r="K65" i="20" s="1"/>
  <c r="K77" i="20"/>
  <c r="O120" i="20"/>
  <c r="P183" i="20"/>
  <c r="K433" i="20"/>
  <c r="J417" i="20"/>
  <c r="K417" i="20" s="1"/>
  <c r="N55" i="18"/>
  <c r="P168" i="18"/>
  <c r="L470" i="18"/>
  <c r="O470" i="18" s="1"/>
  <c r="L184" i="19"/>
  <c r="N183" i="19"/>
  <c r="N181" i="19" s="1"/>
  <c r="I297" i="19"/>
  <c r="K297" i="19" s="1"/>
  <c r="M321" i="19"/>
  <c r="P321" i="19" s="1"/>
  <c r="O791" i="19"/>
  <c r="N15" i="20"/>
  <c r="N29" i="20"/>
  <c r="N28" i="20" s="1"/>
  <c r="O32" i="20"/>
  <c r="M34" i="20"/>
  <c r="P34" i="20" s="1"/>
  <c r="L23" i="20"/>
  <c r="O46" i="20"/>
  <c r="P68" i="20"/>
  <c r="O182" i="20"/>
  <c r="M279" i="20"/>
  <c r="P285" i="20"/>
  <c r="L298" i="20"/>
  <c r="L267" i="18"/>
  <c r="O267" i="18" s="1"/>
  <c r="L187" i="19"/>
  <c r="O187" i="19" s="1"/>
  <c r="L280" i="19"/>
  <c r="O280" i="19" s="1"/>
  <c r="L279" i="19"/>
  <c r="O279" i="19" s="1"/>
  <c r="L300" i="19"/>
  <c r="O300" i="19" s="1"/>
  <c r="M330" i="19"/>
  <c r="M328" i="19" s="1"/>
  <c r="P22" i="20"/>
  <c r="M19" i="20"/>
  <c r="M12" i="20"/>
  <c r="O90" i="20"/>
  <c r="L88" i="20"/>
  <c r="O88" i="20" s="1"/>
  <c r="O238" i="20"/>
  <c r="L227" i="20"/>
  <c r="O71" i="17"/>
  <c r="N43" i="18"/>
  <c r="N121" i="18"/>
  <c r="L555" i="18"/>
  <c r="O555" i="18" s="1"/>
  <c r="L657" i="18"/>
  <c r="O657" i="18" s="1"/>
  <c r="K823" i="18"/>
  <c r="M43" i="19"/>
  <c r="M41" i="19" s="1"/>
  <c r="M68" i="19"/>
  <c r="M66" i="19" s="1"/>
  <c r="L121" i="19"/>
  <c r="O121" i="19" s="1"/>
  <c r="L217" i="19"/>
  <c r="K287" i="19"/>
  <c r="M300" i="19"/>
  <c r="P300" i="19" s="1"/>
  <c r="O350" i="19"/>
  <c r="K379" i="19"/>
  <c r="M391" i="19"/>
  <c r="P391" i="19" s="1"/>
  <c r="P394" i="19"/>
  <c r="I654" i="19"/>
  <c r="L9" i="20"/>
  <c r="O12" i="20"/>
  <c r="N19" i="20"/>
  <c r="N12" i="20"/>
  <c r="O25" i="20"/>
  <c r="O33" i="20"/>
  <c r="L30" i="20"/>
  <c r="O30" i="20" s="1"/>
  <c r="L41" i="20"/>
  <c r="P42" i="20"/>
  <c r="O91" i="20"/>
  <c r="P93" i="20"/>
  <c r="I86" i="20"/>
  <c r="K86" i="20" s="1"/>
  <c r="K98" i="20"/>
  <c r="M151" i="20"/>
  <c r="P157" i="20"/>
  <c r="M165" i="20"/>
  <c r="P165" i="20" s="1"/>
  <c r="P166" i="20"/>
  <c r="M187" i="20"/>
  <c r="P187" i="20" s="1"/>
  <c r="P189" i="20"/>
  <c r="L228" i="20"/>
  <c r="I297" i="20"/>
  <c r="K297" i="20" s="1"/>
  <c r="K309" i="20"/>
  <c r="N419" i="20"/>
  <c r="L238" i="18"/>
  <c r="K378" i="18"/>
  <c r="K381" i="18"/>
  <c r="N43" i="19"/>
  <c r="N41" i="19" s="1"/>
  <c r="O41" i="19" s="1"/>
  <c r="N68" i="19"/>
  <c r="N66" i="19" s="1"/>
  <c r="O66" i="19" s="1"/>
  <c r="P170" i="19"/>
  <c r="M317" i="19"/>
  <c r="P317" i="19" s="1"/>
  <c r="P350" i="19"/>
  <c r="K369" i="19"/>
  <c r="I434" i="19"/>
  <c r="L446" i="19"/>
  <c r="L444" i="19" s="1"/>
  <c r="O690" i="19"/>
  <c r="M690" i="19"/>
  <c r="P690" i="19" s="1"/>
  <c r="L687" i="19"/>
  <c r="M47" i="20"/>
  <c r="P47" i="20" s="1"/>
  <c r="P49" i="20"/>
  <c r="P67" i="20"/>
  <c r="M66" i="20"/>
  <c r="P66" i="20" s="1"/>
  <c r="M134" i="20"/>
  <c r="P140" i="20"/>
  <c r="N301" i="20"/>
  <c r="O301" i="20" s="1"/>
  <c r="N300" i="20"/>
  <c r="P300" i="20" s="1"/>
  <c r="L331" i="20"/>
  <c r="O331" i="20" s="1"/>
  <c r="L330" i="20"/>
  <c r="O333" i="20"/>
  <c r="I364" i="19"/>
  <c r="K370" i="19"/>
  <c r="J721" i="19"/>
  <c r="M90" i="20"/>
  <c r="P90" i="20" s="1"/>
  <c r="P124" i="20"/>
  <c r="O152" i="20"/>
  <c r="O170" i="20"/>
  <c r="P173" i="20"/>
  <c r="M181" i="20"/>
  <c r="P181" i="20" s="1"/>
  <c r="K237" i="20"/>
  <c r="I226" i="20"/>
  <c r="L263" i="20"/>
  <c r="O280" i="20"/>
  <c r="L315" i="20"/>
  <c r="O315" i="20" s="1"/>
  <c r="M317" i="20"/>
  <c r="O320" i="20"/>
  <c r="M347" i="20"/>
  <c r="L389" i="20"/>
  <c r="O389" i="20" s="1"/>
  <c r="M424" i="20"/>
  <c r="L421" i="20"/>
  <c r="L419" i="20" s="1"/>
  <c r="O424" i="20"/>
  <c r="L422" i="20"/>
  <c r="K559" i="20"/>
  <c r="I543" i="20"/>
  <c r="K543" i="20" s="1"/>
  <c r="K822" i="19"/>
  <c r="K828" i="19"/>
  <c r="P71" i="20"/>
  <c r="P74" i="20"/>
  <c r="P121" i="20"/>
  <c r="O140" i="20"/>
  <c r="K145" i="20"/>
  <c r="I143" i="20"/>
  <c r="O157" i="20"/>
  <c r="L165" i="20"/>
  <c r="O165" i="20" s="1"/>
  <c r="P168" i="20"/>
  <c r="I174" i="20"/>
  <c r="O186" i="20"/>
  <c r="K204" i="20"/>
  <c r="I197" i="20"/>
  <c r="K197" i="20" s="1"/>
  <c r="L230" i="20"/>
  <c r="O285" i="20"/>
  <c r="K327" i="20"/>
  <c r="P410" i="20"/>
  <c r="N421" i="20"/>
  <c r="N422" i="20"/>
  <c r="O657" i="20"/>
  <c r="L655" i="20"/>
  <c r="O655" i="20" s="1"/>
  <c r="K721" i="20"/>
  <c r="I76" i="20"/>
  <c r="L134" i="20"/>
  <c r="O134" i="20" s="1"/>
  <c r="L151" i="20"/>
  <c r="O151" i="20" s="1"/>
  <c r="N263" i="20"/>
  <c r="P263" i="20" s="1"/>
  <c r="L279" i="20"/>
  <c r="O279" i="20" s="1"/>
  <c r="P336" i="20"/>
  <c r="M334" i="20"/>
  <c r="P334" i="20" s="1"/>
  <c r="O346" i="20"/>
  <c r="L345" i="20"/>
  <c r="O93" i="20"/>
  <c r="K146" i="20"/>
  <c r="O167" i="20"/>
  <c r="L198" i="20"/>
  <c r="O198" i="20" s="1"/>
  <c r="N298" i="20"/>
  <c r="P298" i="20" s="1"/>
  <c r="P91" i="20"/>
  <c r="O183" i="20"/>
  <c r="L209" i="20"/>
  <c r="O209" i="20" s="1"/>
  <c r="P303" i="20"/>
  <c r="P330" i="20"/>
  <c r="K362" i="20"/>
  <c r="O472" i="20"/>
  <c r="N469" i="20"/>
  <c r="N467" i="20" s="1"/>
  <c r="N470" i="20"/>
  <c r="J537" i="20"/>
  <c r="J522" i="20" s="1"/>
  <c r="K539" i="20"/>
  <c r="P333" i="20"/>
  <c r="K385" i="20"/>
  <c r="M404" i="20"/>
  <c r="O445" i="20"/>
  <c r="L444" i="20"/>
  <c r="O447" i="20"/>
  <c r="O449" i="20"/>
  <c r="N446" i="20"/>
  <c r="O446" i="20" s="1"/>
  <c r="O468" i="20"/>
  <c r="N544" i="20"/>
  <c r="M546" i="20"/>
  <c r="M547" i="20"/>
  <c r="P549" i="20"/>
  <c r="K576" i="20"/>
  <c r="N685" i="20"/>
  <c r="P755" i="20"/>
  <c r="M754" i="20"/>
  <c r="P754" i="20" s="1"/>
  <c r="P525" i="20"/>
  <c r="M523" i="20"/>
  <c r="P523" i="20" s="1"/>
  <c r="N546" i="20"/>
  <c r="O546" i="20" s="1"/>
  <c r="N547" i="20"/>
  <c r="L658" i="20"/>
  <c r="O658" i="20" s="1"/>
  <c r="O660" i="20"/>
  <c r="O403" i="20"/>
  <c r="N687" i="20"/>
  <c r="O687" i="20" s="1"/>
  <c r="O690" i="20"/>
  <c r="N688" i="20"/>
  <c r="P688" i="20" s="1"/>
  <c r="K723" i="20"/>
  <c r="P738" i="20"/>
  <c r="M737" i="20"/>
  <c r="P737" i="20" s="1"/>
  <c r="P771" i="20"/>
  <c r="M770" i="20"/>
  <c r="P770" i="20" s="1"/>
  <c r="P788" i="20"/>
  <c r="M786" i="20"/>
  <c r="P786" i="20" s="1"/>
  <c r="N328" i="20"/>
  <c r="P328" i="20" s="1"/>
  <c r="P469" i="20"/>
  <c r="M467" i="20"/>
  <c r="M470" i="20"/>
  <c r="P470" i="20" s="1"/>
  <c r="P472" i="20"/>
  <c r="L477" i="20"/>
  <c r="O477" i="20" s="1"/>
  <c r="L469" i="20"/>
  <c r="L467" i="20" s="1"/>
  <c r="O479" i="20"/>
  <c r="O524" i="20"/>
  <c r="P629" i="20"/>
  <c r="O688" i="20"/>
  <c r="O787" i="20"/>
  <c r="L786" i="20"/>
  <c r="O786" i="20" s="1"/>
  <c r="I785" i="20"/>
  <c r="K785" i="20" s="1"/>
  <c r="K800" i="20"/>
  <c r="P807" i="20"/>
  <c r="M805" i="20"/>
  <c r="P805" i="20" s="1"/>
  <c r="O390" i="20"/>
  <c r="O420" i="20"/>
  <c r="O545" i="20"/>
  <c r="P555" i="20"/>
  <c r="P630" i="20"/>
  <c r="L632" i="20"/>
  <c r="O632" i="20" s="1"/>
  <c r="O686" i="20"/>
  <c r="L547" i="20"/>
  <c r="L631" i="20"/>
  <c r="O631" i="20" s="1"/>
  <c r="L639" i="20"/>
  <c r="O639" i="20" s="1"/>
  <c r="I434" i="20"/>
  <c r="M687" i="20"/>
  <c r="L525" i="20"/>
  <c r="O525" i="20" s="1"/>
  <c r="M389" i="19"/>
  <c r="P389" i="19" s="1"/>
  <c r="M132" i="19"/>
  <c r="P132" i="19" s="1"/>
  <c r="P134" i="19"/>
  <c r="O263" i="19"/>
  <c r="K174" i="19"/>
  <c r="I164" i="19"/>
  <c r="K164" i="19" s="1"/>
  <c r="L467" i="19"/>
  <c r="O467" i="19" s="1"/>
  <c r="O546" i="19"/>
  <c r="L546" i="8"/>
  <c r="O546" i="8" s="1"/>
  <c r="L90" i="18"/>
  <c r="M151" i="18"/>
  <c r="P151" i="18" s="1"/>
  <c r="L33" i="19"/>
  <c r="L26" i="19"/>
  <c r="L24" i="19" s="1"/>
  <c r="N91" i="19"/>
  <c r="O91" i="19" s="1"/>
  <c r="P93" i="19"/>
  <c r="M135" i="19"/>
  <c r="P135" i="19" s="1"/>
  <c r="M168" i="19"/>
  <c r="K176" i="19"/>
  <c r="N187" i="19"/>
  <c r="I190" i="19"/>
  <c r="K190" i="19" s="1"/>
  <c r="L198" i="19"/>
  <c r="O198" i="19" s="1"/>
  <c r="K208" i="19"/>
  <c r="K271" i="19"/>
  <c r="L277" i="19"/>
  <c r="O277" i="19" s="1"/>
  <c r="N301" i="19"/>
  <c r="N330" i="19"/>
  <c r="M408" i="19"/>
  <c r="P408" i="19" s="1"/>
  <c r="L547" i="19"/>
  <c r="O547" i="19" s="1"/>
  <c r="M549" i="19"/>
  <c r="K561" i="19"/>
  <c r="I216" i="17"/>
  <c r="K216" i="17" s="1"/>
  <c r="L122" i="18"/>
  <c r="O122" i="18" s="1"/>
  <c r="M405" i="18"/>
  <c r="P405" i="18" s="1"/>
  <c r="M408" i="18"/>
  <c r="P408" i="18" s="1"/>
  <c r="J722" i="18"/>
  <c r="M23" i="19"/>
  <c r="M20" i="19" s="1"/>
  <c r="L47" i="19"/>
  <c r="O47" i="19" s="1"/>
  <c r="L72" i="19"/>
  <c r="O72" i="19" s="1"/>
  <c r="K100" i="19"/>
  <c r="N135" i="19"/>
  <c r="P137" i="19"/>
  <c r="N168" i="19"/>
  <c r="O217" i="19"/>
  <c r="K237" i="19"/>
  <c r="N279" i="19"/>
  <c r="N277" i="19" s="1"/>
  <c r="M304" i="19"/>
  <c r="P304" i="19" s="1"/>
  <c r="M347" i="19"/>
  <c r="M345" i="19" s="1"/>
  <c r="M351" i="19"/>
  <c r="P351" i="19" s="1"/>
  <c r="J364" i="19"/>
  <c r="K364" i="19" s="1"/>
  <c r="K435" i="19"/>
  <c r="K440" i="19"/>
  <c r="P472" i="19"/>
  <c r="O549" i="19"/>
  <c r="L228" i="17"/>
  <c r="M94" i="17"/>
  <c r="P94" i="17" s="1"/>
  <c r="L138" i="18"/>
  <c r="O138" i="18" s="1"/>
  <c r="M391" i="18"/>
  <c r="P391" i="18" s="1"/>
  <c r="P397" i="18"/>
  <c r="M402" i="18"/>
  <c r="P402" i="18" s="1"/>
  <c r="K537" i="18"/>
  <c r="L631" i="18"/>
  <c r="O631" i="18" s="1"/>
  <c r="M47" i="19"/>
  <c r="P47" i="19" s="1"/>
  <c r="L55" i="19"/>
  <c r="L53" i="19" s="1"/>
  <c r="N23" i="19"/>
  <c r="N13" i="19" s="1"/>
  <c r="O68" i="19"/>
  <c r="M72" i="19"/>
  <c r="P72" i="19" s="1"/>
  <c r="L138" i="19"/>
  <c r="O138" i="19" s="1"/>
  <c r="J143" i="19"/>
  <c r="J131" i="19" s="1"/>
  <c r="M149" i="19"/>
  <c r="P149" i="19" s="1"/>
  <c r="P306" i="19"/>
  <c r="J327" i="19"/>
  <c r="K327" i="19" s="1"/>
  <c r="N347" i="19"/>
  <c r="N345" i="19" s="1"/>
  <c r="K365" i="19"/>
  <c r="M395" i="19"/>
  <c r="P395" i="19" s="1"/>
  <c r="O446" i="19"/>
  <c r="L477" i="19"/>
  <c r="O477" i="19" s="1"/>
  <c r="O479" i="19"/>
  <c r="L33" i="18"/>
  <c r="O33" i="18" s="1"/>
  <c r="J721" i="18"/>
  <c r="I785" i="18"/>
  <c r="P43" i="19"/>
  <c r="O49" i="19"/>
  <c r="N56" i="19"/>
  <c r="O56" i="19" s="1"/>
  <c r="P68" i="19"/>
  <c r="O93" i="19"/>
  <c r="M119" i="19"/>
  <c r="P119" i="19" s="1"/>
  <c r="M138" i="19"/>
  <c r="P138" i="19" s="1"/>
  <c r="K145" i="19"/>
  <c r="O266" i="19"/>
  <c r="O282" i="19"/>
  <c r="O333" i="19"/>
  <c r="K355" i="19"/>
  <c r="M404" i="19"/>
  <c r="P404" i="19" s="1"/>
  <c r="L447" i="19"/>
  <c r="O447" i="19" s="1"/>
  <c r="O449" i="19"/>
  <c r="I86" i="18"/>
  <c r="K86" i="18" s="1"/>
  <c r="P124" i="18"/>
  <c r="N183" i="18"/>
  <c r="M21" i="19"/>
  <c r="P44" i="19"/>
  <c r="P69" i="19"/>
  <c r="O124" i="19"/>
  <c r="O154" i="19"/>
  <c r="O170" i="19"/>
  <c r="M184" i="19"/>
  <c r="P184" i="19" s="1"/>
  <c r="I216" i="19"/>
  <c r="K216" i="19" s="1"/>
  <c r="I233" i="19"/>
  <c r="K233" i="19" s="1"/>
  <c r="N264" i="19"/>
  <c r="O264" i="19" s="1"/>
  <c r="O269" i="19"/>
  <c r="P282" i="19"/>
  <c r="L330" i="19"/>
  <c r="L328" i="19" s="1"/>
  <c r="K381" i="19"/>
  <c r="N404" i="19"/>
  <c r="N402" i="19" s="1"/>
  <c r="L121" i="18"/>
  <c r="L119" i="18" s="1"/>
  <c r="L125" i="18"/>
  <c r="N134" i="18"/>
  <c r="N132" i="18" s="1"/>
  <c r="K159" i="18"/>
  <c r="I148" i="18"/>
  <c r="K148" i="18" s="1"/>
  <c r="O173" i="18"/>
  <c r="L171" i="18"/>
  <c r="O171" i="18" s="1"/>
  <c r="O186" i="18"/>
  <c r="L184" i="18"/>
  <c r="K435" i="18"/>
  <c r="J433" i="18"/>
  <c r="J417" i="18" s="1"/>
  <c r="I433" i="18"/>
  <c r="I417" i="18" s="1"/>
  <c r="O22" i="19"/>
  <c r="L19" i="19"/>
  <c r="L12" i="19"/>
  <c r="O35" i="19"/>
  <c r="L34" i="19"/>
  <c r="O34" i="19" s="1"/>
  <c r="M59" i="19"/>
  <c r="P59" i="19" s="1"/>
  <c r="M26" i="19"/>
  <c r="P61" i="19"/>
  <c r="O150" i="19"/>
  <c r="L149" i="19"/>
  <c r="O149" i="19" s="1"/>
  <c r="O262" i="19"/>
  <c r="L261" i="19"/>
  <c r="M523" i="19"/>
  <c r="P523" i="19" s="1"/>
  <c r="P524" i="19"/>
  <c r="P806" i="19"/>
  <c r="M805" i="19"/>
  <c r="P805" i="19" s="1"/>
  <c r="M134" i="16"/>
  <c r="P134" i="16" s="1"/>
  <c r="P280" i="18"/>
  <c r="L300" i="18"/>
  <c r="O300" i="18" s="1"/>
  <c r="O306" i="18"/>
  <c r="L304" i="18"/>
  <c r="O304" i="18" s="1"/>
  <c r="L334" i="18"/>
  <c r="O334" i="18" s="1"/>
  <c r="K576" i="18"/>
  <c r="M632" i="18"/>
  <c r="M631" i="18"/>
  <c r="P631" i="18" s="1"/>
  <c r="L15" i="19"/>
  <c r="P54" i="19"/>
  <c r="N26" i="19"/>
  <c r="I64" i="19"/>
  <c r="K64" i="19" s="1"/>
  <c r="K76" i="19"/>
  <c r="L94" i="19"/>
  <c r="O94" i="19" s="1"/>
  <c r="P96" i="19"/>
  <c r="M90" i="19"/>
  <c r="O137" i="19"/>
  <c r="L134" i="19"/>
  <c r="I130" i="19"/>
  <c r="K130" i="19" s="1"/>
  <c r="K146" i="19"/>
  <c r="P262" i="19"/>
  <c r="N392" i="19"/>
  <c r="N391" i="19"/>
  <c r="N389" i="19" s="1"/>
  <c r="L786" i="19"/>
  <c r="O786" i="19" s="1"/>
  <c r="O787" i="19"/>
  <c r="L632" i="17"/>
  <c r="O632" i="17" s="1"/>
  <c r="L526" i="17"/>
  <c r="O526" i="17" s="1"/>
  <c r="K100" i="17"/>
  <c r="N41" i="18"/>
  <c r="O127" i="18"/>
  <c r="L263" i="18"/>
  <c r="L261" i="18" s="1"/>
  <c r="L264" i="18"/>
  <c r="O303" i="18"/>
  <c r="L301" i="18"/>
  <c r="O301" i="18" s="1"/>
  <c r="N12" i="19"/>
  <c r="N31" i="19"/>
  <c r="L90" i="19"/>
  <c r="O90" i="19" s="1"/>
  <c r="M94" i="19"/>
  <c r="P94" i="19" s="1"/>
  <c r="L135" i="19"/>
  <c r="O135" i="19" s="1"/>
  <c r="K143" i="19"/>
  <c r="I131" i="19"/>
  <c r="K131" i="19" s="1"/>
  <c r="O299" i="19"/>
  <c r="L298" i="19"/>
  <c r="O298" i="19" s="1"/>
  <c r="L395" i="19"/>
  <c r="O395" i="19" s="1"/>
  <c r="O397" i="19"/>
  <c r="M660" i="17"/>
  <c r="P660" i="17" s="1"/>
  <c r="L155" i="18"/>
  <c r="O155" i="18" s="1"/>
  <c r="O157" i="18"/>
  <c r="K224" i="18"/>
  <c r="I216" i="18"/>
  <c r="K216" i="18" s="1"/>
  <c r="K359" i="18"/>
  <c r="K385" i="18"/>
  <c r="L639" i="18"/>
  <c r="O639" i="18" s="1"/>
  <c r="O641" i="18"/>
  <c r="L29" i="19"/>
  <c r="P41" i="19"/>
  <c r="K86" i="19"/>
  <c r="N121" i="19"/>
  <c r="N119" i="19" s="1"/>
  <c r="O173" i="19"/>
  <c r="L167" i="19"/>
  <c r="O167" i="19" s="1"/>
  <c r="P346" i="19"/>
  <c r="L391" i="19"/>
  <c r="P420" i="19"/>
  <c r="L347" i="17"/>
  <c r="L345" i="17" s="1"/>
  <c r="I112" i="18"/>
  <c r="K112" i="18" s="1"/>
  <c r="O154" i="18"/>
  <c r="L151" i="18"/>
  <c r="O151" i="18" s="1"/>
  <c r="M155" i="18"/>
  <c r="P155" i="18" s="1"/>
  <c r="P157" i="18"/>
  <c r="L23" i="19"/>
  <c r="L21" i="19" s="1"/>
  <c r="M55" i="19"/>
  <c r="I77" i="19"/>
  <c r="K81" i="19"/>
  <c r="O120" i="19"/>
  <c r="L119" i="19"/>
  <c r="O119" i="19" s="1"/>
  <c r="P173" i="19"/>
  <c r="M171" i="19"/>
  <c r="P171" i="19" s="1"/>
  <c r="P189" i="19"/>
  <c r="M183" i="19"/>
  <c r="O238" i="19"/>
  <c r="M264" i="19"/>
  <c r="P266" i="19"/>
  <c r="M263" i="19"/>
  <c r="P263" i="19" s="1"/>
  <c r="P660" i="19"/>
  <c r="M657" i="19"/>
  <c r="N279" i="18"/>
  <c r="N277" i="18" s="1"/>
  <c r="M279" i="18"/>
  <c r="P282" i="18"/>
  <c r="K822" i="18"/>
  <c r="K828" i="18"/>
  <c r="N55" i="19"/>
  <c r="N53" i="19" s="1"/>
  <c r="M56" i="19"/>
  <c r="P58" i="19"/>
  <c r="P66" i="19"/>
  <c r="K98" i="19"/>
  <c r="M187" i="19"/>
  <c r="P187" i="19" s="1"/>
  <c r="P278" i="19"/>
  <c r="M277" i="19"/>
  <c r="P277" i="19" s="1"/>
  <c r="O317" i="19"/>
  <c r="L315" i="19"/>
  <c r="O315" i="19" s="1"/>
  <c r="K577" i="19"/>
  <c r="M658" i="19"/>
  <c r="P658" i="19" s="1"/>
  <c r="O56" i="18"/>
  <c r="N68" i="18"/>
  <c r="L231" i="18"/>
  <c r="P353" i="18"/>
  <c r="M15" i="19"/>
  <c r="M29" i="19"/>
  <c r="O58" i="19"/>
  <c r="O61" i="19"/>
  <c r="M122" i="19"/>
  <c r="P122" i="19" s="1"/>
  <c r="P124" i="19"/>
  <c r="M152" i="19"/>
  <c r="P152" i="19" s="1"/>
  <c r="P154" i="19"/>
  <c r="K204" i="19"/>
  <c r="I197" i="19"/>
  <c r="K197" i="19" s="1"/>
  <c r="N261" i="19"/>
  <c r="M301" i="19"/>
  <c r="P301" i="19" s="1"/>
  <c r="P303" i="19"/>
  <c r="L351" i="19"/>
  <c r="O351" i="19" s="1"/>
  <c r="L347" i="19"/>
  <c r="O353" i="19"/>
  <c r="L408" i="19"/>
  <c r="O408" i="19" s="1"/>
  <c r="O410" i="19"/>
  <c r="N414" i="19"/>
  <c r="O656" i="19"/>
  <c r="P787" i="19"/>
  <c r="M786" i="19"/>
  <c r="P786" i="19" s="1"/>
  <c r="P58" i="18"/>
  <c r="N90" i="18"/>
  <c r="N88" i="18" s="1"/>
  <c r="L198" i="18"/>
  <c r="O198" i="18" s="1"/>
  <c r="I233" i="18"/>
  <c r="K233" i="18" s="1"/>
  <c r="J327" i="18"/>
  <c r="K327" i="18" s="1"/>
  <c r="L469" i="18"/>
  <c r="O469" i="18" s="1"/>
  <c r="K729" i="18"/>
  <c r="J785" i="18"/>
  <c r="N149" i="19"/>
  <c r="M167" i="19"/>
  <c r="O182" i="19"/>
  <c r="L181" i="19"/>
  <c r="O181" i="19" s="1"/>
  <c r="N298" i="19"/>
  <c r="K325" i="19"/>
  <c r="K338" i="19"/>
  <c r="J433" i="19"/>
  <c r="J417" i="19" s="1"/>
  <c r="K417" i="19" s="1"/>
  <c r="K442" i="19"/>
  <c r="I522" i="19"/>
  <c r="K522" i="19" s="1"/>
  <c r="L525" i="19"/>
  <c r="O528" i="19"/>
  <c r="J537" i="19"/>
  <c r="J522" i="19" s="1"/>
  <c r="K538" i="19"/>
  <c r="K675" i="19"/>
  <c r="J669" i="19"/>
  <c r="J654" i="19" s="1"/>
  <c r="P46" i="18"/>
  <c r="I76" i="18"/>
  <c r="I64" i="18" s="1"/>
  <c r="K64" i="18" s="1"/>
  <c r="M187" i="18"/>
  <c r="P187" i="18" s="1"/>
  <c r="L209" i="18"/>
  <c r="O209" i="18" s="1"/>
  <c r="L229" i="18"/>
  <c r="P266" i="18"/>
  <c r="O333" i="18"/>
  <c r="P394" i="18"/>
  <c r="O472" i="18"/>
  <c r="K647" i="18"/>
  <c r="O166" i="19"/>
  <c r="L165" i="19"/>
  <c r="O165" i="19" s="1"/>
  <c r="O184" i="19"/>
  <c r="L209" i="19"/>
  <c r="O209" i="19" s="1"/>
  <c r="M267" i="19"/>
  <c r="P267" i="19" s="1"/>
  <c r="P269" i="19"/>
  <c r="O323" i="19"/>
  <c r="L321" i="19"/>
  <c r="O321" i="19" s="1"/>
  <c r="K372" i="19"/>
  <c r="L402" i="19"/>
  <c r="O402" i="19" s="1"/>
  <c r="M424" i="19"/>
  <c r="L422" i="19"/>
  <c r="O422" i="19" s="1"/>
  <c r="L421" i="19"/>
  <c r="K434" i="19"/>
  <c r="I418" i="19"/>
  <c r="K418" i="19" s="1"/>
  <c r="O470" i="19"/>
  <c r="J594" i="19"/>
  <c r="K594" i="19" s="1"/>
  <c r="P333" i="18"/>
  <c r="K338" i="18"/>
  <c r="M125" i="19"/>
  <c r="P125" i="19" s="1"/>
  <c r="P127" i="19"/>
  <c r="M155" i="19"/>
  <c r="P155" i="19" s="1"/>
  <c r="P157" i="19"/>
  <c r="O168" i="19"/>
  <c r="L228" i="19"/>
  <c r="L249" i="19"/>
  <c r="O249" i="19" s="1"/>
  <c r="N318" i="19"/>
  <c r="N317" i="19"/>
  <c r="N315" i="19" s="1"/>
  <c r="L334" i="19"/>
  <c r="O334" i="19" s="1"/>
  <c r="O336" i="19"/>
  <c r="P347" i="19"/>
  <c r="L502" i="19"/>
  <c r="O502" i="19" s="1"/>
  <c r="O504" i="19"/>
  <c r="M634" i="19"/>
  <c r="L632" i="19"/>
  <c r="O632" i="19" s="1"/>
  <c r="L631" i="19"/>
  <c r="K647" i="19"/>
  <c r="L658" i="19"/>
  <c r="O658" i="19" s="1"/>
  <c r="O660" i="19"/>
  <c r="L657" i="19"/>
  <c r="O657" i="19" s="1"/>
  <c r="L304" i="19"/>
  <c r="O304" i="19" s="1"/>
  <c r="O306" i="19"/>
  <c r="O431" i="19"/>
  <c r="L429" i="19"/>
  <c r="O429" i="19" s="1"/>
  <c r="M446" i="19"/>
  <c r="M447" i="19"/>
  <c r="P447" i="19" s="1"/>
  <c r="P449" i="19"/>
  <c r="M469" i="19"/>
  <c r="O641" i="19"/>
  <c r="L639" i="19"/>
  <c r="O639" i="19" s="1"/>
  <c r="I785" i="19"/>
  <c r="K785" i="19" s="1"/>
  <c r="K800" i="19"/>
  <c r="P403" i="19"/>
  <c r="L405" i="19"/>
  <c r="O405" i="19" s="1"/>
  <c r="O407" i="19"/>
  <c r="N444" i="19"/>
  <c r="O444" i="19" s="1"/>
  <c r="P545" i="19"/>
  <c r="K651" i="19"/>
  <c r="I628" i="19"/>
  <c r="K628" i="19" s="1"/>
  <c r="P470" i="19"/>
  <c r="N504" i="19"/>
  <c r="N502" i="19" s="1"/>
  <c r="N505" i="19"/>
  <c r="J543" i="19"/>
  <c r="K543" i="19" s="1"/>
  <c r="K559" i="19"/>
  <c r="K673" i="19"/>
  <c r="K674" i="18"/>
  <c r="K723" i="17"/>
  <c r="P55" i="18"/>
  <c r="N69" i="18"/>
  <c r="P69" i="18" s="1"/>
  <c r="N91" i="18"/>
  <c r="P91" i="18" s="1"/>
  <c r="M94" i="18"/>
  <c r="P94" i="18" s="1"/>
  <c r="K115" i="18"/>
  <c r="P127" i="18"/>
  <c r="O184" i="18"/>
  <c r="K255" i="18"/>
  <c r="J288" i="18"/>
  <c r="L347" i="18"/>
  <c r="L421" i="18"/>
  <c r="L419" i="18" s="1"/>
  <c r="M424" i="18"/>
  <c r="P424" i="18" s="1"/>
  <c r="M449" i="18"/>
  <c r="M447" i="18" s="1"/>
  <c r="P447" i="18" s="1"/>
  <c r="K628" i="18"/>
  <c r="K828" i="17"/>
  <c r="K726" i="17"/>
  <c r="N26" i="18"/>
  <c r="N24" i="18" s="1"/>
  <c r="M56" i="18"/>
  <c r="P56" i="18" s="1"/>
  <c r="O59" i="18"/>
  <c r="N66" i="18"/>
  <c r="K100" i="18"/>
  <c r="I130" i="18"/>
  <c r="K130" i="18" s="1"/>
  <c r="N138" i="18"/>
  <c r="N167" i="18"/>
  <c r="N165" i="18" s="1"/>
  <c r="K204" i="18"/>
  <c r="M283" i="18"/>
  <c r="P283" i="18" s="1"/>
  <c r="I314" i="18"/>
  <c r="K314" i="18" s="1"/>
  <c r="N317" i="18"/>
  <c r="N315" i="18" s="1"/>
  <c r="L331" i="18"/>
  <c r="O331" i="18" s="1"/>
  <c r="P350" i="18"/>
  <c r="L392" i="18"/>
  <c r="O392" i="18" s="1"/>
  <c r="K462" i="18"/>
  <c r="K649" i="18"/>
  <c r="L655" i="18"/>
  <c r="O655" i="18" s="1"/>
  <c r="M660" i="18"/>
  <c r="P660" i="18" s="1"/>
  <c r="K669" i="18"/>
  <c r="K675" i="18"/>
  <c r="M688" i="18"/>
  <c r="P688" i="18" s="1"/>
  <c r="K821" i="18"/>
  <c r="K824" i="18"/>
  <c r="K827" i="18"/>
  <c r="K385" i="17"/>
  <c r="N23" i="18"/>
  <c r="N53" i="18"/>
  <c r="O58" i="18"/>
  <c r="N119" i="18"/>
  <c r="L152" i="18"/>
  <c r="O152" i="18" s="1"/>
  <c r="O348" i="18"/>
  <c r="N391" i="18"/>
  <c r="N389" i="18" s="1"/>
  <c r="L422" i="18"/>
  <c r="O449" i="18"/>
  <c r="L658" i="18"/>
  <c r="O658" i="18" s="1"/>
  <c r="O449" i="17"/>
  <c r="P59" i="18"/>
  <c r="O71" i="18"/>
  <c r="M135" i="18"/>
  <c r="P135" i="18" s="1"/>
  <c r="I190" i="18"/>
  <c r="K190" i="18" s="1"/>
  <c r="K215" i="18"/>
  <c r="N351" i="18"/>
  <c r="O351" i="18" s="1"/>
  <c r="K374" i="18"/>
  <c r="L467" i="18"/>
  <c r="P634" i="18"/>
  <c r="I654" i="18"/>
  <c r="K654" i="18" s="1"/>
  <c r="I208" i="16"/>
  <c r="K208" i="16" s="1"/>
  <c r="P397" i="17"/>
  <c r="L392" i="17"/>
  <c r="O392" i="17" s="1"/>
  <c r="K145" i="17"/>
  <c r="M44" i="18"/>
  <c r="P44" i="18" s="1"/>
  <c r="L55" i="18"/>
  <c r="L53" i="18" s="1"/>
  <c r="L69" i="18"/>
  <c r="P71" i="18"/>
  <c r="M183" i="18"/>
  <c r="M181" i="18" s="1"/>
  <c r="L230" i="18"/>
  <c r="O266" i="18"/>
  <c r="O282" i="18"/>
  <c r="K287" i="18"/>
  <c r="K340" i="18"/>
  <c r="I364" i="18"/>
  <c r="K379" i="18"/>
  <c r="L391" i="18"/>
  <c r="O391" i="18" s="1"/>
  <c r="L395" i="18"/>
  <c r="O395" i="18" s="1"/>
  <c r="O632" i="18"/>
  <c r="K673" i="18"/>
  <c r="M687" i="18"/>
  <c r="K700" i="18"/>
  <c r="K76" i="18"/>
  <c r="O336" i="17"/>
  <c r="L334" i="17"/>
  <c r="O334" i="17" s="1"/>
  <c r="O137" i="18"/>
  <c r="L134" i="18"/>
  <c r="O299" i="18"/>
  <c r="J355" i="18"/>
  <c r="K355" i="18" s="1"/>
  <c r="K362" i="18"/>
  <c r="O420" i="18"/>
  <c r="N33" i="18"/>
  <c r="N422" i="18"/>
  <c r="K593" i="18"/>
  <c r="I592" i="18"/>
  <c r="K592" i="18" s="1"/>
  <c r="K827" i="17"/>
  <c r="K824" i="17"/>
  <c r="O22" i="18"/>
  <c r="L19" i="18"/>
  <c r="L12" i="18"/>
  <c r="L31" i="18"/>
  <c r="L47" i="18"/>
  <c r="O47" i="18" s="1"/>
  <c r="P49" i="18"/>
  <c r="M26" i="18"/>
  <c r="M24" i="18" s="1"/>
  <c r="P24" i="18" s="1"/>
  <c r="L72" i="18"/>
  <c r="O72" i="18" s="1"/>
  <c r="O90" i="18"/>
  <c r="L135" i="18"/>
  <c r="O135" i="18" s="1"/>
  <c r="K144" i="18"/>
  <c r="J143" i="18"/>
  <c r="J131" i="18" s="1"/>
  <c r="K225" i="18"/>
  <c r="M267" i="18"/>
  <c r="P267" i="18" s="1"/>
  <c r="P269" i="18"/>
  <c r="M263" i="18"/>
  <c r="M301" i="18"/>
  <c r="P301" i="18" s="1"/>
  <c r="P303" i="18"/>
  <c r="M331" i="18"/>
  <c r="P331" i="18" s="1"/>
  <c r="P390" i="18"/>
  <c r="P420" i="18"/>
  <c r="O549" i="18"/>
  <c r="M549" i="18"/>
  <c r="P806" i="18"/>
  <c r="M805" i="18"/>
  <c r="P805" i="18" s="1"/>
  <c r="M68" i="16"/>
  <c r="P68" i="16" s="1"/>
  <c r="M15" i="18"/>
  <c r="M19" i="18"/>
  <c r="L43" i="18"/>
  <c r="O43" i="18" s="1"/>
  <c r="M47" i="18"/>
  <c r="P47" i="18" s="1"/>
  <c r="L68" i="18"/>
  <c r="O68" i="18" s="1"/>
  <c r="M72" i="18"/>
  <c r="P72" i="18" s="1"/>
  <c r="K78" i="18"/>
  <c r="L88" i="18"/>
  <c r="O88" i="18" s="1"/>
  <c r="M90" i="18"/>
  <c r="P90" i="18" s="1"/>
  <c r="P133" i="18"/>
  <c r="I143" i="18"/>
  <c r="K145" i="18"/>
  <c r="N151" i="18"/>
  <c r="N149" i="18" s="1"/>
  <c r="O170" i="18"/>
  <c r="L167" i="18"/>
  <c r="N300" i="18"/>
  <c r="N298" i="18" s="1"/>
  <c r="L321" i="18"/>
  <c r="O321" i="18" s="1"/>
  <c r="P323" i="18"/>
  <c r="M317" i="18"/>
  <c r="L454" i="18"/>
  <c r="O454" i="18" s="1"/>
  <c r="O456" i="18"/>
  <c r="L36" i="18"/>
  <c r="O36" i="18" s="1"/>
  <c r="L446" i="18"/>
  <c r="O446" i="18" s="1"/>
  <c r="L546" i="18"/>
  <c r="J721" i="16"/>
  <c r="K826" i="17"/>
  <c r="L470" i="17"/>
  <c r="O470" i="17" s="1"/>
  <c r="K244" i="17"/>
  <c r="P74" i="17"/>
  <c r="N15" i="18"/>
  <c r="N21" i="18"/>
  <c r="M43" i="18"/>
  <c r="O61" i="18"/>
  <c r="M68" i="18"/>
  <c r="K79" i="18"/>
  <c r="I77" i="18"/>
  <c r="L91" i="18"/>
  <c r="O93" i="18"/>
  <c r="O150" i="18"/>
  <c r="L149" i="18"/>
  <c r="O149" i="18" s="1"/>
  <c r="I174" i="18"/>
  <c r="K176" i="18"/>
  <c r="P182" i="18"/>
  <c r="O189" i="18"/>
  <c r="L183" i="18"/>
  <c r="O238" i="18"/>
  <c r="K244" i="18"/>
  <c r="I237" i="18"/>
  <c r="M277" i="18"/>
  <c r="M321" i="18"/>
  <c r="P321" i="18" s="1"/>
  <c r="L330" i="18"/>
  <c r="O330" i="18" s="1"/>
  <c r="M347" i="18"/>
  <c r="M345" i="18" s="1"/>
  <c r="O407" i="18"/>
  <c r="L405" i="18"/>
  <c r="O405" i="18" s="1"/>
  <c r="L404" i="18"/>
  <c r="O410" i="18"/>
  <c r="L408" i="18"/>
  <c r="O408" i="18" s="1"/>
  <c r="N546" i="18"/>
  <c r="N544" i="18" s="1"/>
  <c r="K822" i="17"/>
  <c r="P472" i="17"/>
  <c r="O320" i="17"/>
  <c r="L318" i="17"/>
  <c r="O318" i="17" s="1"/>
  <c r="O306" i="17"/>
  <c r="L301" i="17"/>
  <c r="O301" i="17" s="1"/>
  <c r="P22" i="18"/>
  <c r="P25" i="18"/>
  <c r="M34" i="18"/>
  <c r="P34" i="18" s="1"/>
  <c r="O42" i="18"/>
  <c r="L23" i="18"/>
  <c r="O46" i="18"/>
  <c r="M53" i="18"/>
  <c r="P61" i="18"/>
  <c r="O67" i="18"/>
  <c r="P93" i="18"/>
  <c r="M134" i="18"/>
  <c r="P134" i="18" s="1"/>
  <c r="P140" i="18"/>
  <c r="P150" i="18"/>
  <c r="M149" i="18"/>
  <c r="P149" i="18" s="1"/>
  <c r="L168" i="18"/>
  <c r="O168" i="18" s="1"/>
  <c r="N181" i="18"/>
  <c r="K271" i="18"/>
  <c r="I260" i="18"/>
  <c r="K260" i="18" s="1"/>
  <c r="M330" i="18"/>
  <c r="O424" i="18"/>
  <c r="I434" i="18"/>
  <c r="K438" i="18"/>
  <c r="L547" i="18"/>
  <c r="O547" i="18" s="1"/>
  <c r="O660" i="17"/>
  <c r="O353" i="17"/>
  <c r="M334" i="17"/>
  <c r="P334" i="17" s="1"/>
  <c r="P336" i="17"/>
  <c r="M23" i="18"/>
  <c r="L26" i="18"/>
  <c r="O44" i="18"/>
  <c r="P89" i="18"/>
  <c r="L94" i="18"/>
  <c r="O94" i="18" s="1"/>
  <c r="O96" i="18"/>
  <c r="I87" i="18"/>
  <c r="K87" i="18" s="1"/>
  <c r="K99" i="18"/>
  <c r="M152" i="18"/>
  <c r="P152" i="18" s="1"/>
  <c r="P154" i="18"/>
  <c r="P173" i="18"/>
  <c r="M167" i="18"/>
  <c r="L228" i="18"/>
  <c r="L249" i="18"/>
  <c r="O249" i="18" s="1"/>
  <c r="O285" i="18"/>
  <c r="L279" i="18"/>
  <c r="M300" i="18"/>
  <c r="M304" i="18"/>
  <c r="P304" i="18" s="1"/>
  <c r="P306" i="18"/>
  <c r="O320" i="18"/>
  <c r="L317" i="18"/>
  <c r="O329" i="18"/>
  <c r="N421" i="18"/>
  <c r="K651" i="18"/>
  <c r="K378" i="17"/>
  <c r="K360" i="17"/>
  <c r="L231" i="17"/>
  <c r="I112" i="17"/>
  <c r="K112" i="17" s="1"/>
  <c r="L55" i="17"/>
  <c r="L53" i="17" s="1"/>
  <c r="N125" i="18"/>
  <c r="P125" i="18" s="1"/>
  <c r="P170" i="18"/>
  <c r="M184" i="18"/>
  <c r="P184" i="18" s="1"/>
  <c r="N264" i="18"/>
  <c r="P264" i="18" s="1"/>
  <c r="O346" i="18"/>
  <c r="L345" i="18"/>
  <c r="N347" i="18"/>
  <c r="N345" i="18" s="1"/>
  <c r="O350" i="18"/>
  <c r="K417" i="18"/>
  <c r="M469" i="18"/>
  <c r="P469" i="18" s="1"/>
  <c r="M470" i="18"/>
  <c r="P470" i="18" s="1"/>
  <c r="P472" i="18"/>
  <c r="K540" i="18"/>
  <c r="J537" i="18"/>
  <c r="J522" i="18" s="1"/>
  <c r="P555" i="18"/>
  <c r="M545" i="18"/>
  <c r="J594" i="18"/>
  <c r="K594" i="18" s="1"/>
  <c r="N631" i="18"/>
  <c r="N629" i="18" s="1"/>
  <c r="O634" i="18"/>
  <c r="O686" i="18"/>
  <c r="L685" i="18"/>
  <c r="O685" i="18" s="1"/>
  <c r="O688" i="18"/>
  <c r="O771" i="18"/>
  <c r="L770" i="18"/>
  <c r="O770" i="18" s="1"/>
  <c r="O791" i="18"/>
  <c r="M791" i="18"/>
  <c r="L789" i="18"/>
  <c r="O789" i="18" s="1"/>
  <c r="K559" i="18"/>
  <c r="I543" i="18"/>
  <c r="K543" i="18" s="1"/>
  <c r="P630" i="18"/>
  <c r="M121" i="18"/>
  <c r="P121" i="18" s="1"/>
  <c r="P183" i="18"/>
  <c r="L217" i="18"/>
  <c r="O217" i="18" s="1"/>
  <c r="N263" i="18"/>
  <c r="O263" i="18" s="1"/>
  <c r="K372" i="18"/>
  <c r="J365" i="18"/>
  <c r="P449" i="18"/>
  <c r="M446" i="18"/>
  <c r="P468" i="18"/>
  <c r="O738" i="18"/>
  <c r="L737" i="18"/>
  <c r="O737" i="18" s="1"/>
  <c r="O788" i="18"/>
  <c r="L786" i="18"/>
  <c r="O786" i="18" s="1"/>
  <c r="P348" i="18"/>
  <c r="K360" i="18"/>
  <c r="N467" i="18"/>
  <c r="L523" i="18"/>
  <c r="O523" i="18" s="1"/>
  <c r="P632" i="18"/>
  <c r="K785" i="18"/>
  <c r="O755" i="18"/>
  <c r="L754" i="18"/>
  <c r="O754" i="18" s="1"/>
  <c r="O353" i="18"/>
  <c r="K369" i="18"/>
  <c r="K442" i="18"/>
  <c r="O445" i="18"/>
  <c r="O447" i="18"/>
  <c r="P503" i="18"/>
  <c r="M502" i="18"/>
  <c r="P502" i="18" s="1"/>
  <c r="O528" i="18"/>
  <c r="L526" i="18"/>
  <c r="O526" i="18" s="1"/>
  <c r="N347" i="13"/>
  <c r="N345" i="13" s="1"/>
  <c r="K821" i="17"/>
  <c r="K628" i="17"/>
  <c r="I364" i="17"/>
  <c r="K338" i="17"/>
  <c r="L229" i="17"/>
  <c r="M134" i="17"/>
  <c r="I76" i="17"/>
  <c r="I64" i="17" s="1"/>
  <c r="K64" i="17" s="1"/>
  <c r="K823" i="17"/>
  <c r="K374" i="17"/>
  <c r="K370" i="17"/>
  <c r="O280" i="17"/>
  <c r="O137" i="17"/>
  <c r="N55" i="10"/>
  <c r="N53" i="10" s="1"/>
  <c r="L43" i="11"/>
  <c r="L41" i="11" s="1"/>
  <c r="L68" i="11"/>
  <c r="L66" i="11" s="1"/>
  <c r="I260" i="15"/>
  <c r="K260" i="15" s="1"/>
  <c r="K825" i="17"/>
  <c r="K725" i="17"/>
  <c r="I434" i="17"/>
  <c r="I418" i="17" s="1"/>
  <c r="K418" i="17" s="1"/>
  <c r="P348" i="17"/>
  <c r="N330" i="17"/>
  <c r="N328" i="17" s="1"/>
  <c r="N317" i="17"/>
  <c r="N315" i="17" s="1"/>
  <c r="L198" i="17"/>
  <c r="O198" i="17" s="1"/>
  <c r="M132" i="17"/>
  <c r="I87" i="17"/>
  <c r="K87" i="17" s="1"/>
  <c r="O61" i="17"/>
  <c r="L56" i="17"/>
  <c r="P394" i="17"/>
  <c r="K369" i="17"/>
  <c r="M317" i="17"/>
  <c r="M315" i="17" s="1"/>
  <c r="P315" i="17" s="1"/>
  <c r="I233" i="17"/>
  <c r="K233" i="17" s="1"/>
  <c r="L217" i="17"/>
  <c r="O217" i="17" s="1"/>
  <c r="P186" i="17"/>
  <c r="K379" i="14"/>
  <c r="I785" i="17"/>
  <c r="K785" i="17" s="1"/>
  <c r="I522" i="17"/>
  <c r="K522" i="17" s="1"/>
  <c r="I442" i="17"/>
  <c r="K442" i="17" s="1"/>
  <c r="K359" i="17"/>
  <c r="L330" i="17"/>
  <c r="O330" i="17" s="1"/>
  <c r="P285" i="17"/>
  <c r="O266" i="17"/>
  <c r="L183" i="17"/>
  <c r="P137" i="17"/>
  <c r="M135" i="17"/>
  <c r="P135" i="17" s="1"/>
  <c r="O124" i="17"/>
  <c r="K115" i="17"/>
  <c r="P93" i="17"/>
  <c r="M632" i="17"/>
  <c r="P632" i="17" s="1"/>
  <c r="P634" i="17"/>
  <c r="P154" i="14"/>
  <c r="M183" i="15"/>
  <c r="P168" i="16"/>
  <c r="K720" i="17"/>
  <c r="N391" i="17"/>
  <c r="N389" i="17" s="1"/>
  <c r="N392" i="17"/>
  <c r="K340" i="17"/>
  <c r="L331" i="17"/>
  <c r="O285" i="17"/>
  <c r="I275" i="17"/>
  <c r="L135" i="17"/>
  <c r="N90" i="17"/>
  <c r="N88" i="17" s="1"/>
  <c r="L72" i="17"/>
  <c r="O72" i="17" s="1"/>
  <c r="N351" i="17"/>
  <c r="P351" i="17" s="1"/>
  <c r="I148" i="15"/>
  <c r="K148" i="15" s="1"/>
  <c r="L469" i="15"/>
  <c r="O469" i="15" s="1"/>
  <c r="J721" i="17"/>
  <c r="K721" i="17" s="1"/>
  <c r="K647" i="17"/>
  <c r="L469" i="17"/>
  <c r="L467" i="17" s="1"/>
  <c r="O424" i="17"/>
  <c r="O397" i="17"/>
  <c r="P350" i="17"/>
  <c r="L238" i="17"/>
  <c r="I174" i="17"/>
  <c r="L151" i="17"/>
  <c r="L149" i="17" s="1"/>
  <c r="O149" i="17" s="1"/>
  <c r="L121" i="17"/>
  <c r="I77" i="17"/>
  <c r="P71" i="17"/>
  <c r="N331" i="17"/>
  <c r="P331" i="17" s="1"/>
  <c r="O49" i="16"/>
  <c r="O791" i="17"/>
  <c r="L631" i="17"/>
  <c r="L629" i="17" s="1"/>
  <c r="I592" i="17"/>
  <c r="K592" i="17" s="1"/>
  <c r="O549" i="17"/>
  <c r="O479" i="17"/>
  <c r="L408" i="17"/>
  <c r="O408" i="17" s="1"/>
  <c r="L391" i="17"/>
  <c r="O391" i="17" s="1"/>
  <c r="O350" i="17"/>
  <c r="N300" i="17"/>
  <c r="N298" i="17" s="1"/>
  <c r="O269" i="17"/>
  <c r="I248" i="17"/>
  <c r="K248" i="17" s="1"/>
  <c r="L230" i="17"/>
  <c r="I208" i="17"/>
  <c r="K208" i="17" s="1"/>
  <c r="L187" i="17"/>
  <c r="O187" i="17" s="1"/>
  <c r="N167" i="17"/>
  <c r="N165" i="17" s="1"/>
  <c r="O157" i="17"/>
  <c r="J143" i="17"/>
  <c r="J131" i="17" s="1"/>
  <c r="O127" i="17"/>
  <c r="L69" i="17"/>
  <c r="O69" i="17" s="1"/>
  <c r="K728" i="17"/>
  <c r="J722" i="17"/>
  <c r="K722" i="17" s="1"/>
  <c r="K701" i="17"/>
  <c r="L658" i="17"/>
  <c r="K651" i="17"/>
  <c r="K649" i="17"/>
  <c r="L525" i="17"/>
  <c r="O525" i="17" s="1"/>
  <c r="M404" i="17"/>
  <c r="P404" i="17" s="1"/>
  <c r="N404" i="17"/>
  <c r="N402" i="17" s="1"/>
  <c r="L405" i="17"/>
  <c r="O405" i="17" s="1"/>
  <c r="K379" i="17"/>
  <c r="K355" i="17"/>
  <c r="P353" i="17"/>
  <c r="N347" i="17"/>
  <c r="O347" i="17" s="1"/>
  <c r="L348" i="17"/>
  <c r="O348" i="17" s="1"/>
  <c r="J327" i="17"/>
  <c r="K327" i="17" s="1"/>
  <c r="P333" i="17"/>
  <c r="M321" i="17"/>
  <c r="P321" i="17" s="1"/>
  <c r="N318" i="17"/>
  <c r="L300" i="17"/>
  <c r="K287" i="17"/>
  <c r="L249" i="17"/>
  <c r="O249" i="17" s="1"/>
  <c r="L209" i="17"/>
  <c r="O209" i="17" s="1"/>
  <c r="N183" i="17"/>
  <c r="M183" i="17"/>
  <c r="M181" i="17" s="1"/>
  <c r="M68" i="17"/>
  <c r="M66" i="17" s="1"/>
  <c r="P49" i="17"/>
  <c r="P59" i="16"/>
  <c r="K822" i="16"/>
  <c r="K828" i="16"/>
  <c r="O641" i="17"/>
  <c r="O535" i="17"/>
  <c r="O333" i="17"/>
  <c r="M318" i="17"/>
  <c r="P318" i="17" s="1"/>
  <c r="K255" i="17"/>
  <c r="P140" i="17"/>
  <c r="K82" i="17"/>
  <c r="L655" i="17"/>
  <c r="J364" i="17"/>
  <c r="K365" i="17"/>
  <c r="J559" i="17"/>
  <c r="J543" i="17" s="1"/>
  <c r="K543" i="17" s="1"/>
  <c r="K576" i="17"/>
  <c r="O547" i="17"/>
  <c r="N657" i="17"/>
  <c r="N655" i="17" s="1"/>
  <c r="O238" i="17"/>
  <c r="N56" i="17"/>
  <c r="O58" i="17"/>
  <c r="N55" i="17"/>
  <c r="N53" i="17" s="1"/>
  <c r="O53" i="17" s="1"/>
  <c r="J722" i="16"/>
  <c r="K675" i="17"/>
  <c r="N658" i="17"/>
  <c r="O658" i="17" s="1"/>
  <c r="M657" i="17"/>
  <c r="P657" i="17" s="1"/>
  <c r="N546" i="17"/>
  <c r="N544" i="17" s="1"/>
  <c r="N444" i="17"/>
  <c r="N405" i="17"/>
  <c r="P317" i="17"/>
  <c r="P299" i="17"/>
  <c r="N263" i="17"/>
  <c r="N261" i="17" s="1"/>
  <c r="N264" i="17"/>
  <c r="O264" i="17" s="1"/>
  <c r="N152" i="17"/>
  <c r="N151" i="17"/>
  <c r="N149" i="17" s="1"/>
  <c r="P58" i="17"/>
  <c r="N23" i="17"/>
  <c r="N21" i="17" s="1"/>
  <c r="L231" i="15"/>
  <c r="K647" i="15"/>
  <c r="I654" i="15"/>
  <c r="K654" i="15" s="1"/>
  <c r="K669" i="15"/>
  <c r="L55" i="16"/>
  <c r="M138" i="16"/>
  <c r="P138" i="16" s="1"/>
  <c r="O333" i="16"/>
  <c r="M391" i="16"/>
  <c r="P391" i="16" s="1"/>
  <c r="M658" i="17"/>
  <c r="P658" i="17" s="1"/>
  <c r="O634" i="17"/>
  <c r="O557" i="17"/>
  <c r="M549" i="17"/>
  <c r="J433" i="17"/>
  <c r="J417" i="17" s="1"/>
  <c r="P407" i="17"/>
  <c r="M405" i="17"/>
  <c r="P405" i="17" s="1"/>
  <c r="K372" i="17"/>
  <c r="K325" i="17"/>
  <c r="L317" i="17"/>
  <c r="O317" i="17" s="1"/>
  <c r="M280" i="17"/>
  <c r="P280" i="17" s="1"/>
  <c r="M279" i="17"/>
  <c r="P282" i="17"/>
  <c r="J275" i="17"/>
  <c r="L26" i="17"/>
  <c r="L24" i="17" s="1"/>
  <c r="O49" i="17"/>
  <c r="L47" i="17"/>
  <c r="O47" i="17" s="1"/>
  <c r="M187" i="16"/>
  <c r="P187" i="16" s="1"/>
  <c r="I190" i="16"/>
  <c r="K190" i="16" s="1"/>
  <c r="O266" i="16"/>
  <c r="O285" i="16"/>
  <c r="L300" i="16"/>
  <c r="L298" i="16" s="1"/>
  <c r="L788" i="17"/>
  <c r="O690" i="17"/>
  <c r="K674" i="17"/>
  <c r="P656" i="17"/>
  <c r="I654" i="17"/>
  <c r="K654" i="17" s="1"/>
  <c r="N631" i="17"/>
  <c r="N629" i="17" s="1"/>
  <c r="L546" i="17"/>
  <c r="I433" i="17"/>
  <c r="P303" i="17"/>
  <c r="M301" i="17"/>
  <c r="P301" i="17" s="1"/>
  <c r="P262" i="17"/>
  <c r="O135" i="17"/>
  <c r="L12" i="17"/>
  <c r="L19" i="17"/>
  <c r="O22" i="17"/>
  <c r="P403" i="17"/>
  <c r="P306" i="17"/>
  <c r="M304" i="17"/>
  <c r="P304" i="17" s="1"/>
  <c r="L263" i="16"/>
  <c r="L261" i="16" s="1"/>
  <c r="L267" i="16"/>
  <c r="O267" i="16" s="1"/>
  <c r="L631" i="16"/>
  <c r="O631" i="16" s="1"/>
  <c r="L687" i="17"/>
  <c r="O687" i="17" s="1"/>
  <c r="K673" i="17"/>
  <c r="K669" i="17"/>
  <c r="M631" i="17"/>
  <c r="P631" i="17" s="1"/>
  <c r="K559" i="17"/>
  <c r="J537" i="17"/>
  <c r="J522" i="17" s="1"/>
  <c r="K381" i="17"/>
  <c r="O186" i="17"/>
  <c r="L184" i="17"/>
  <c r="O184" i="17" s="1"/>
  <c r="O140" i="17"/>
  <c r="L138" i="17"/>
  <c r="O138" i="17" s="1"/>
  <c r="O15" i="17"/>
  <c r="P410" i="17"/>
  <c r="M408" i="17"/>
  <c r="P408" i="17" s="1"/>
  <c r="L152" i="16"/>
  <c r="O152" i="16" s="1"/>
  <c r="L155" i="16"/>
  <c r="O155" i="16" s="1"/>
  <c r="K360" i="16"/>
  <c r="M690" i="17"/>
  <c r="L321" i="17"/>
  <c r="O321" i="17" s="1"/>
  <c r="M300" i="17"/>
  <c r="P300" i="17" s="1"/>
  <c r="I226" i="17"/>
  <c r="O29" i="17"/>
  <c r="O524" i="17"/>
  <c r="O472" i="17"/>
  <c r="K462" i="17"/>
  <c r="O456" i="17"/>
  <c r="M449" i="17"/>
  <c r="K438" i="17"/>
  <c r="N33" i="17"/>
  <c r="N421" i="17"/>
  <c r="N419" i="17" s="1"/>
  <c r="N414" i="17" s="1"/>
  <c r="L404" i="17"/>
  <c r="O404" i="17" s="1"/>
  <c r="K362" i="17"/>
  <c r="P320" i="17"/>
  <c r="O316" i="17"/>
  <c r="K309" i="17"/>
  <c r="N279" i="17"/>
  <c r="N277" i="17" s="1"/>
  <c r="P266" i="17"/>
  <c r="M264" i="17"/>
  <c r="I197" i="17"/>
  <c r="K197" i="17" s="1"/>
  <c r="K204" i="17"/>
  <c r="M187" i="17"/>
  <c r="P187" i="17" s="1"/>
  <c r="M171" i="17"/>
  <c r="P171" i="17" s="1"/>
  <c r="L134" i="17"/>
  <c r="N121" i="17"/>
  <c r="N119" i="17" s="1"/>
  <c r="M91" i="17"/>
  <c r="P91" i="17" s="1"/>
  <c r="O89" i="17"/>
  <c r="P69" i="17"/>
  <c r="L43" i="17"/>
  <c r="L41" i="17" s="1"/>
  <c r="N469" i="17"/>
  <c r="N467" i="17" s="1"/>
  <c r="L446" i="17"/>
  <c r="M421" i="17"/>
  <c r="M391" i="17"/>
  <c r="M347" i="17"/>
  <c r="M330" i="17"/>
  <c r="O166" i="17"/>
  <c r="O96" i="17"/>
  <c r="L94" i="17"/>
  <c r="O94" i="17" s="1"/>
  <c r="M90" i="17"/>
  <c r="N525" i="17"/>
  <c r="N523" i="17" s="1"/>
  <c r="M469" i="17"/>
  <c r="P469" i="17" s="1"/>
  <c r="L36" i="17"/>
  <c r="O36" i="17" s="1"/>
  <c r="L33" i="17"/>
  <c r="L31" i="17" s="1"/>
  <c r="M422" i="17"/>
  <c r="P422" i="17" s="1"/>
  <c r="L421" i="17"/>
  <c r="O282" i="17"/>
  <c r="M184" i="17"/>
  <c r="P184" i="17" s="1"/>
  <c r="O173" i="17"/>
  <c r="L171" i="17"/>
  <c r="O171" i="17" s="1"/>
  <c r="M167" i="17"/>
  <c r="K146" i="17"/>
  <c r="I130" i="17"/>
  <c r="K130" i="17" s="1"/>
  <c r="P138" i="17"/>
  <c r="K98" i="17"/>
  <c r="O93" i="17"/>
  <c r="L91" i="17"/>
  <c r="O91" i="17" s="1"/>
  <c r="L90" i="17"/>
  <c r="L68" i="17"/>
  <c r="L66" i="17" s="1"/>
  <c r="P15" i="17"/>
  <c r="M23" i="17"/>
  <c r="L429" i="17"/>
  <c r="O429" i="17" s="1"/>
  <c r="L422" i="17"/>
  <c r="O422" i="17" s="1"/>
  <c r="P269" i="17"/>
  <c r="M267" i="17"/>
  <c r="P267" i="17" s="1"/>
  <c r="M263" i="17"/>
  <c r="P263" i="17" s="1"/>
  <c r="L181" i="17"/>
  <c r="O182" i="17"/>
  <c r="O170" i="17"/>
  <c r="L168" i="17"/>
  <c r="O168" i="17" s="1"/>
  <c r="L167" i="17"/>
  <c r="O167" i="17" s="1"/>
  <c r="I131" i="17"/>
  <c r="K131" i="17" s="1"/>
  <c r="M26" i="17"/>
  <c r="O35" i="17"/>
  <c r="M151" i="17"/>
  <c r="M121" i="17"/>
  <c r="M55" i="17"/>
  <c r="L23" i="17"/>
  <c r="N19" i="17"/>
  <c r="N12" i="17"/>
  <c r="K271" i="17"/>
  <c r="L263" i="17"/>
  <c r="K159" i="17"/>
  <c r="M155" i="17"/>
  <c r="P155" i="17" s="1"/>
  <c r="M152" i="17"/>
  <c r="P152" i="17" s="1"/>
  <c r="M125" i="17"/>
  <c r="P125" i="17" s="1"/>
  <c r="M122" i="17"/>
  <c r="P122" i="17" s="1"/>
  <c r="M59" i="17"/>
  <c r="P59" i="17" s="1"/>
  <c r="M56" i="17"/>
  <c r="O46" i="17"/>
  <c r="P35" i="17"/>
  <c r="N26" i="17"/>
  <c r="P22" i="17"/>
  <c r="M19" i="17"/>
  <c r="M12" i="17"/>
  <c r="L279" i="17"/>
  <c r="N134" i="17"/>
  <c r="N132" i="17" s="1"/>
  <c r="P132" i="17" s="1"/>
  <c r="N68" i="17"/>
  <c r="N66" i="17" s="1"/>
  <c r="N43" i="17"/>
  <c r="N41" i="17" s="1"/>
  <c r="N44" i="17"/>
  <c r="P44" i="17" s="1"/>
  <c r="M43" i="17"/>
  <c r="M34" i="17"/>
  <c r="P34" i="17" s="1"/>
  <c r="M29" i="17"/>
  <c r="L330" i="11"/>
  <c r="M263" i="14"/>
  <c r="M261" i="14" s="1"/>
  <c r="L789" i="14"/>
  <c r="O789" i="14" s="1"/>
  <c r="N167" i="16"/>
  <c r="M279" i="16"/>
  <c r="M277" i="16" s="1"/>
  <c r="K385" i="16"/>
  <c r="M424" i="16"/>
  <c r="M421" i="16" s="1"/>
  <c r="P421" i="16" s="1"/>
  <c r="K708" i="16"/>
  <c r="M125" i="13"/>
  <c r="P125" i="13" s="1"/>
  <c r="J537" i="16"/>
  <c r="J522" i="16" s="1"/>
  <c r="K823" i="16"/>
  <c r="L229" i="15"/>
  <c r="K673" i="15"/>
  <c r="M791" i="15"/>
  <c r="P791" i="15" s="1"/>
  <c r="I77" i="16"/>
  <c r="I65" i="16" s="1"/>
  <c r="K65" i="16" s="1"/>
  <c r="L135" i="16"/>
  <c r="O135" i="16" s="1"/>
  <c r="L279" i="16"/>
  <c r="L277" i="16" s="1"/>
  <c r="L330" i="16"/>
  <c r="L328" i="16" s="1"/>
  <c r="J327" i="16"/>
  <c r="K327" i="16" s="1"/>
  <c r="K539" i="16"/>
  <c r="J785" i="16"/>
  <c r="N134" i="12"/>
  <c r="N132" i="12" s="1"/>
  <c r="M321" i="14"/>
  <c r="P321" i="14" s="1"/>
  <c r="M151" i="15"/>
  <c r="M149" i="15" s="1"/>
  <c r="K370" i="15"/>
  <c r="L788" i="15"/>
  <c r="L786" i="15" s="1"/>
  <c r="O786" i="15" s="1"/>
  <c r="M317" i="16"/>
  <c r="P317" i="16" s="1"/>
  <c r="M404" i="16"/>
  <c r="P404" i="16" s="1"/>
  <c r="L658" i="16"/>
  <c r="O658" i="16" s="1"/>
  <c r="K340" i="10"/>
  <c r="L228" i="14"/>
  <c r="M121" i="15"/>
  <c r="M125" i="15"/>
  <c r="P125" i="15" s="1"/>
  <c r="M155" i="15"/>
  <c r="P155" i="15" s="1"/>
  <c r="P58" i="16"/>
  <c r="O74" i="16"/>
  <c r="L334" i="16"/>
  <c r="O334" i="16" s="1"/>
  <c r="I522" i="16"/>
  <c r="K522" i="16" s="1"/>
  <c r="K628" i="16"/>
  <c r="L55" i="10"/>
  <c r="K224" i="14"/>
  <c r="K370" i="14"/>
  <c r="I248" i="15"/>
  <c r="K248" i="15" s="1"/>
  <c r="K309" i="15"/>
  <c r="I297" i="15"/>
  <c r="K297" i="15" s="1"/>
  <c r="L446" i="9"/>
  <c r="L230" i="15"/>
  <c r="O280" i="16"/>
  <c r="L639" i="11"/>
  <c r="O639" i="11" s="1"/>
  <c r="O431" i="16"/>
  <c r="L429" i="16"/>
  <c r="O429" i="16" s="1"/>
  <c r="I543" i="16"/>
  <c r="K543" i="16" s="1"/>
  <c r="K559" i="16"/>
  <c r="O71" i="10"/>
  <c r="M424" i="14"/>
  <c r="M422" i="14" s="1"/>
  <c r="O49" i="15"/>
  <c r="L47" i="15"/>
  <c r="O47" i="15" s="1"/>
  <c r="L91" i="16"/>
  <c r="O91" i="16" s="1"/>
  <c r="O93" i="16"/>
  <c r="N330" i="16"/>
  <c r="N328" i="16" s="1"/>
  <c r="N334" i="16"/>
  <c r="N55" i="14"/>
  <c r="N53" i="14" s="1"/>
  <c r="L138" i="16"/>
  <c r="O138" i="16" s="1"/>
  <c r="K271" i="16"/>
  <c r="I260" i="16"/>
  <c r="K260" i="16" s="1"/>
  <c r="I314" i="16"/>
  <c r="K314" i="16" s="1"/>
  <c r="K325" i="16"/>
  <c r="O152" i="15"/>
  <c r="O282" i="15"/>
  <c r="O61" i="16"/>
  <c r="M121" i="16"/>
  <c r="P121" i="16" s="1"/>
  <c r="O124" i="16"/>
  <c r="L231" i="16"/>
  <c r="M318" i="16"/>
  <c r="P318" i="16" s="1"/>
  <c r="L347" i="16"/>
  <c r="L345" i="16" s="1"/>
  <c r="M405" i="16"/>
  <c r="P405" i="16" s="1"/>
  <c r="L408" i="16"/>
  <c r="O408" i="16" s="1"/>
  <c r="L687" i="16"/>
  <c r="L685" i="16" s="1"/>
  <c r="L788" i="16"/>
  <c r="O788" i="16" s="1"/>
  <c r="I276" i="15"/>
  <c r="K276" i="15" s="1"/>
  <c r="K340" i="15"/>
  <c r="K651" i="15"/>
  <c r="L33" i="16"/>
  <c r="O33" i="16" s="1"/>
  <c r="N90" i="16"/>
  <c r="N88" i="16" s="1"/>
  <c r="P124" i="16"/>
  <c r="L228" i="16"/>
  <c r="K338" i="16"/>
  <c r="O351" i="16"/>
  <c r="P353" i="16"/>
  <c r="K355" i="16"/>
  <c r="K369" i="16"/>
  <c r="J433" i="16"/>
  <c r="L688" i="16"/>
  <c r="P351" i="16"/>
  <c r="N404" i="15"/>
  <c r="N402" i="15" s="1"/>
  <c r="M47" i="16"/>
  <c r="P47" i="16" s="1"/>
  <c r="M55" i="16"/>
  <c r="I76" i="16"/>
  <c r="K76" i="16" s="1"/>
  <c r="M135" i="16"/>
  <c r="P135" i="16" s="1"/>
  <c r="L167" i="16"/>
  <c r="O167" i="16" s="1"/>
  <c r="N264" i="16"/>
  <c r="O264" i="16" s="1"/>
  <c r="K340" i="16"/>
  <c r="K381" i="16"/>
  <c r="N391" i="16"/>
  <c r="N389" i="16" s="1"/>
  <c r="K647" i="16"/>
  <c r="M660" i="16"/>
  <c r="M658" i="16" s="1"/>
  <c r="P658" i="16" s="1"/>
  <c r="K720" i="16"/>
  <c r="O59" i="16"/>
  <c r="P61" i="16"/>
  <c r="P137" i="16"/>
  <c r="L151" i="16"/>
  <c r="O151" i="16" s="1"/>
  <c r="P303" i="16"/>
  <c r="K379" i="16"/>
  <c r="K821" i="16"/>
  <c r="K824" i="16"/>
  <c r="K827" i="16"/>
  <c r="M300" i="13"/>
  <c r="P300" i="13" s="1"/>
  <c r="M404" i="14"/>
  <c r="M167" i="15"/>
  <c r="M165" i="15" s="1"/>
  <c r="K215" i="15"/>
  <c r="L217" i="15"/>
  <c r="O217" i="15" s="1"/>
  <c r="L447" i="15"/>
  <c r="O447" i="15" s="1"/>
  <c r="J722" i="15"/>
  <c r="K823" i="15"/>
  <c r="N26" i="16"/>
  <c r="N55" i="16"/>
  <c r="N53" i="16" s="1"/>
  <c r="O58" i="16"/>
  <c r="K79" i="16"/>
  <c r="P93" i="16"/>
  <c r="J143" i="16"/>
  <c r="J131" i="16" s="1"/>
  <c r="N151" i="16"/>
  <c r="N149" i="16" s="1"/>
  <c r="L209" i="16"/>
  <c r="O209" i="16" s="1"/>
  <c r="I216" i="16"/>
  <c r="K216" i="16" s="1"/>
  <c r="I237" i="16"/>
  <c r="K237" i="16" s="1"/>
  <c r="M280" i="16"/>
  <c r="P280" i="16" s="1"/>
  <c r="J288" i="16"/>
  <c r="J275" i="16" s="1"/>
  <c r="K275" i="16" s="1"/>
  <c r="N317" i="16"/>
  <c r="N315" i="16" s="1"/>
  <c r="O353" i="16"/>
  <c r="K359" i="16"/>
  <c r="L395" i="16"/>
  <c r="O395" i="16" s="1"/>
  <c r="N404" i="16"/>
  <c r="N402" i="16" s="1"/>
  <c r="L422" i="16"/>
  <c r="O422" i="16" s="1"/>
  <c r="O479" i="16"/>
  <c r="L525" i="16"/>
  <c r="K649" i="16"/>
  <c r="K672" i="16"/>
  <c r="K700" i="16"/>
  <c r="I785" i="16"/>
  <c r="K801" i="16"/>
  <c r="M404" i="13"/>
  <c r="P404" i="13" s="1"/>
  <c r="M392" i="14"/>
  <c r="P392" i="14" s="1"/>
  <c r="I314" i="15"/>
  <c r="K314" i="15" s="1"/>
  <c r="L94" i="16"/>
  <c r="O94" i="16" s="1"/>
  <c r="L121" i="16"/>
  <c r="O121" i="16" s="1"/>
  <c r="L125" i="16"/>
  <c r="O125" i="16" s="1"/>
  <c r="N134" i="16"/>
  <c r="N132" i="16" s="1"/>
  <c r="L230" i="16"/>
  <c r="M283" i="16"/>
  <c r="P283" i="16" s="1"/>
  <c r="I297" i="16"/>
  <c r="K297" i="16" s="1"/>
  <c r="M402" i="16"/>
  <c r="P402" i="16" s="1"/>
  <c r="L405" i="16"/>
  <c r="O405" i="16" s="1"/>
  <c r="K673" i="16"/>
  <c r="M687" i="16"/>
  <c r="M685" i="16" s="1"/>
  <c r="P685" i="16" s="1"/>
  <c r="N90" i="15"/>
  <c r="N88" i="15" s="1"/>
  <c r="N134" i="15"/>
  <c r="N132" i="15" s="1"/>
  <c r="M279" i="15"/>
  <c r="M277" i="15" s="1"/>
  <c r="L36" i="16"/>
  <c r="O36" i="16" s="1"/>
  <c r="M56" i="16"/>
  <c r="P56" i="16" s="1"/>
  <c r="L68" i="16"/>
  <c r="O68" i="16" s="1"/>
  <c r="O170" i="16"/>
  <c r="L249" i="16"/>
  <c r="O249" i="16" s="1"/>
  <c r="M300" i="16"/>
  <c r="M298" i="16" s="1"/>
  <c r="M321" i="16"/>
  <c r="P321" i="16" s="1"/>
  <c r="N347" i="16"/>
  <c r="N345" i="16" s="1"/>
  <c r="K362" i="16"/>
  <c r="K435" i="16"/>
  <c r="L469" i="16"/>
  <c r="L467" i="16" s="1"/>
  <c r="M472" i="16"/>
  <c r="P472" i="16" s="1"/>
  <c r="L546" i="16"/>
  <c r="O546" i="16" s="1"/>
  <c r="M634" i="16"/>
  <c r="M631" i="16" s="1"/>
  <c r="P631" i="16" s="1"/>
  <c r="I654" i="16"/>
  <c r="K654" i="16" s="1"/>
  <c r="K674" i="16"/>
  <c r="J721" i="10"/>
  <c r="O44" i="14"/>
  <c r="M405" i="14"/>
  <c r="P405" i="14" s="1"/>
  <c r="M68" i="15"/>
  <c r="M134" i="15"/>
  <c r="M132" i="15" s="1"/>
  <c r="N280" i="15"/>
  <c r="O280" i="15" s="1"/>
  <c r="L391" i="15"/>
  <c r="O391" i="15" s="1"/>
  <c r="L526" i="15"/>
  <c r="O526" i="15" s="1"/>
  <c r="L90" i="16"/>
  <c r="L88" i="16" s="1"/>
  <c r="P91" i="16"/>
  <c r="I112" i="16"/>
  <c r="K112" i="16" s="1"/>
  <c r="I174" i="16"/>
  <c r="I164" i="16" s="1"/>
  <c r="K164" i="16" s="1"/>
  <c r="L183" i="16"/>
  <c r="L181" i="16" s="1"/>
  <c r="L198" i="16"/>
  <c r="O198" i="16" s="1"/>
  <c r="N263" i="16"/>
  <c r="O263" i="16" s="1"/>
  <c r="O301" i="16"/>
  <c r="O303" i="16"/>
  <c r="O323" i="16"/>
  <c r="M330" i="16"/>
  <c r="M328" i="16" s="1"/>
  <c r="O350" i="16"/>
  <c r="K372" i="16"/>
  <c r="K378" i="16"/>
  <c r="L391" i="16"/>
  <c r="O391" i="16" s="1"/>
  <c r="M408" i="16"/>
  <c r="P408" i="16" s="1"/>
  <c r="L421" i="16"/>
  <c r="O421" i="16" s="1"/>
  <c r="I442" i="16"/>
  <c r="K442" i="16" s="1"/>
  <c r="L555" i="16"/>
  <c r="O555" i="16" s="1"/>
  <c r="O641" i="16"/>
  <c r="L657" i="16"/>
  <c r="O657" i="16" s="1"/>
  <c r="K669" i="16"/>
  <c r="M688" i="16"/>
  <c r="L789" i="16"/>
  <c r="O789" i="16" s="1"/>
  <c r="K433" i="16"/>
  <c r="O93" i="12"/>
  <c r="K537" i="14"/>
  <c r="L26" i="15"/>
  <c r="K145" i="15"/>
  <c r="O189" i="15"/>
  <c r="P282" i="15"/>
  <c r="O394" i="15"/>
  <c r="L546" i="15"/>
  <c r="O546" i="15" s="1"/>
  <c r="M43" i="16"/>
  <c r="M41" i="16" s="1"/>
  <c r="P71" i="16"/>
  <c r="N68" i="16"/>
  <c r="N66" i="16" s="1"/>
  <c r="K115" i="16"/>
  <c r="P154" i="16"/>
  <c r="M183" i="16"/>
  <c r="M181" i="16" s="1"/>
  <c r="L217" i="16"/>
  <c r="O217" i="16" s="1"/>
  <c r="K255" i="16"/>
  <c r="I276" i="16"/>
  <c r="K276" i="16" s="1"/>
  <c r="L304" i="16"/>
  <c r="O304" i="16" s="1"/>
  <c r="M347" i="16"/>
  <c r="P347" i="16" s="1"/>
  <c r="K370" i="16"/>
  <c r="L404" i="16"/>
  <c r="O404" i="16" s="1"/>
  <c r="L547" i="16"/>
  <c r="O547" i="16" s="1"/>
  <c r="M657" i="16"/>
  <c r="O74" i="15"/>
  <c r="L72" i="15"/>
  <c r="O72" i="15" s="1"/>
  <c r="P29" i="16"/>
  <c r="N44" i="16"/>
  <c r="O44" i="16" s="1"/>
  <c r="P46" i="16"/>
  <c r="N43" i="16"/>
  <c r="I131" i="16"/>
  <c r="K131" i="16" s="1"/>
  <c r="K143" i="16"/>
  <c r="N184" i="16"/>
  <c r="O184" i="16" s="1"/>
  <c r="N183" i="16"/>
  <c r="K248" i="16"/>
  <c r="P266" i="16"/>
  <c r="M264" i="16"/>
  <c r="M23" i="16"/>
  <c r="M263" i="16"/>
  <c r="M261" i="16" s="1"/>
  <c r="J288" i="11"/>
  <c r="J275" i="11" s="1"/>
  <c r="K275" i="11" s="1"/>
  <c r="M187" i="14"/>
  <c r="P187" i="14" s="1"/>
  <c r="L283" i="14"/>
  <c r="O283" i="14" s="1"/>
  <c r="I442" i="14"/>
  <c r="K442" i="14" s="1"/>
  <c r="L68" i="15"/>
  <c r="I86" i="15"/>
  <c r="K86" i="15" s="1"/>
  <c r="O127" i="15"/>
  <c r="P152" i="15"/>
  <c r="M330" i="15"/>
  <c r="M328" i="15" s="1"/>
  <c r="P22" i="16"/>
  <c r="M19" i="16"/>
  <c r="M12" i="16"/>
  <c r="K98" i="16"/>
  <c r="I86" i="16"/>
  <c r="K86" i="16" s="1"/>
  <c r="O120" i="16"/>
  <c r="O166" i="16"/>
  <c r="L165" i="16"/>
  <c r="M263" i="7"/>
  <c r="M261" i="7" s="1"/>
  <c r="I76" i="14"/>
  <c r="K76" i="14" s="1"/>
  <c r="M125" i="14"/>
  <c r="P125" i="14" s="1"/>
  <c r="N151" i="14"/>
  <c r="N149" i="14" s="1"/>
  <c r="M267" i="14"/>
  <c r="P267" i="14" s="1"/>
  <c r="L631" i="14"/>
  <c r="L629" i="14" s="1"/>
  <c r="K144" i="15"/>
  <c r="J143" i="15"/>
  <c r="J131" i="15" s="1"/>
  <c r="K131" i="15" s="1"/>
  <c r="P269" i="15"/>
  <c r="M267" i="15"/>
  <c r="P267" i="15" s="1"/>
  <c r="N279" i="15"/>
  <c r="N277" i="15" s="1"/>
  <c r="N283" i="15"/>
  <c r="M331" i="15"/>
  <c r="P331" i="15" s="1"/>
  <c r="P333" i="15"/>
  <c r="O32" i="16"/>
  <c r="L29" i="16"/>
  <c r="L12" i="16"/>
  <c r="P67" i="16"/>
  <c r="N122" i="16"/>
  <c r="N121" i="16"/>
  <c r="N119" i="16" s="1"/>
  <c r="M155" i="16"/>
  <c r="P155" i="16" s="1"/>
  <c r="P157" i="16"/>
  <c r="M151" i="16"/>
  <c r="P151" i="16" s="1"/>
  <c r="M26" i="16"/>
  <c r="M24" i="16" s="1"/>
  <c r="L405" i="12"/>
  <c r="O405" i="12" s="1"/>
  <c r="I364" i="13"/>
  <c r="K725" i="13"/>
  <c r="L300" i="14"/>
  <c r="L298" i="14" s="1"/>
  <c r="L317" i="14"/>
  <c r="L315" i="14" s="1"/>
  <c r="O315" i="14" s="1"/>
  <c r="L421" i="14"/>
  <c r="L419" i="14" s="1"/>
  <c r="O419" i="14" s="1"/>
  <c r="L469" i="14"/>
  <c r="L467" i="14" s="1"/>
  <c r="K649" i="14"/>
  <c r="P93" i="15"/>
  <c r="P320" i="15"/>
  <c r="M318" i="15"/>
  <c r="P318" i="15" s="1"/>
  <c r="L229" i="16"/>
  <c r="L238" i="16"/>
  <c r="L230" i="13"/>
  <c r="L300" i="13"/>
  <c r="O300" i="13" s="1"/>
  <c r="L229" i="14"/>
  <c r="K594" i="14"/>
  <c r="P61" i="15"/>
  <c r="M59" i="15"/>
  <c r="P59" i="15" s="1"/>
  <c r="O137" i="15"/>
  <c r="O140" i="15"/>
  <c r="K193" i="15"/>
  <c r="I190" i="15"/>
  <c r="K190" i="15" s="1"/>
  <c r="N23" i="16"/>
  <c r="L53" i="16"/>
  <c r="O54" i="16"/>
  <c r="O133" i="16"/>
  <c r="O186" i="16"/>
  <c r="K651" i="12"/>
  <c r="K98" i="13"/>
  <c r="M43" i="14"/>
  <c r="M41" i="14" s="1"/>
  <c r="N167" i="14"/>
  <c r="N165" i="14" s="1"/>
  <c r="L217" i="14"/>
  <c r="O217" i="14" s="1"/>
  <c r="P58" i="15"/>
  <c r="M122" i="15"/>
  <c r="P122" i="15" s="1"/>
  <c r="M184" i="15"/>
  <c r="P15" i="16"/>
  <c r="P278" i="16"/>
  <c r="L121" i="15"/>
  <c r="O121" i="15" s="1"/>
  <c r="P154" i="15"/>
  <c r="L317" i="15"/>
  <c r="K360" i="15"/>
  <c r="L446" i="15"/>
  <c r="L444" i="15" s="1"/>
  <c r="O444" i="15" s="1"/>
  <c r="L687" i="15"/>
  <c r="O687" i="15" s="1"/>
  <c r="L26" i="16"/>
  <c r="O46" i="16"/>
  <c r="M72" i="16"/>
  <c r="P72" i="16" s="1"/>
  <c r="P127" i="16"/>
  <c r="M132" i="16"/>
  <c r="P132" i="16" s="1"/>
  <c r="I148" i="16"/>
  <c r="K148" i="16" s="1"/>
  <c r="L171" i="16"/>
  <c r="O171" i="16" s="1"/>
  <c r="I233" i="16"/>
  <c r="K233" i="16" s="1"/>
  <c r="N300" i="16"/>
  <c r="O316" i="16"/>
  <c r="N772" i="16"/>
  <c r="N770" i="16" s="1"/>
  <c r="N773" i="16"/>
  <c r="N31" i="16"/>
  <c r="M69" i="16"/>
  <c r="P69" i="16" s="1"/>
  <c r="N72" i="16"/>
  <c r="N94" i="16"/>
  <c r="N165" i="16"/>
  <c r="L168" i="16"/>
  <c r="O168" i="16" s="1"/>
  <c r="M171" i="16"/>
  <c r="P171" i="16" s="1"/>
  <c r="L187" i="16"/>
  <c r="O187" i="16" s="1"/>
  <c r="O329" i="16"/>
  <c r="I443" i="16"/>
  <c r="K443" i="16" s="1"/>
  <c r="K462" i="16"/>
  <c r="L209" i="15"/>
  <c r="O209" i="15" s="1"/>
  <c r="J364" i="15"/>
  <c r="K204" i="16"/>
  <c r="M331" i="16"/>
  <c r="P331" i="16" s="1"/>
  <c r="P333" i="16"/>
  <c r="L279" i="15"/>
  <c r="K379" i="15"/>
  <c r="K649" i="15"/>
  <c r="K801" i="15"/>
  <c r="K822" i="15"/>
  <c r="K828" i="15"/>
  <c r="N12" i="16"/>
  <c r="L23" i="16"/>
  <c r="O56" i="16"/>
  <c r="K80" i="16"/>
  <c r="I87" i="16"/>
  <c r="K87" i="16" s="1"/>
  <c r="M90" i="16"/>
  <c r="K145" i="16"/>
  <c r="P170" i="16"/>
  <c r="P269" i="16"/>
  <c r="M267" i="16"/>
  <c r="P267" i="16" s="1"/>
  <c r="O282" i="16"/>
  <c r="P299" i="16"/>
  <c r="O331" i="16"/>
  <c r="M348" i="16"/>
  <c r="P348" i="16" s="1"/>
  <c r="P350" i="16"/>
  <c r="I434" i="16"/>
  <c r="K438" i="16"/>
  <c r="O630" i="16"/>
  <c r="L629" i="16"/>
  <c r="O629" i="16" s="1"/>
  <c r="P394" i="15"/>
  <c r="O397" i="15"/>
  <c r="K675" i="15"/>
  <c r="K701" i="15"/>
  <c r="L15" i="16"/>
  <c r="L43" i="16"/>
  <c r="O71" i="16"/>
  <c r="P96" i="16"/>
  <c r="K111" i="16"/>
  <c r="L134" i="16"/>
  <c r="O134" i="16" s="1"/>
  <c r="M167" i="16"/>
  <c r="P186" i="16"/>
  <c r="N279" i="16"/>
  <c r="P282" i="16"/>
  <c r="L317" i="16"/>
  <c r="O317" i="16" s="1"/>
  <c r="O320" i="16"/>
  <c r="M334" i="16"/>
  <c r="P334" i="16" s="1"/>
  <c r="P336" i="16"/>
  <c r="O346" i="16"/>
  <c r="O348" i="16"/>
  <c r="M301" i="16"/>
  <c r="P301" i="16" s="1"/>
  <c r="M304" i="16"/>
  <c r="P304" i="16" s="1"/>
  <c r="M422" i="16"/>
  <c r="P422" i="16" s="1"/>
  <c r="P424" i="16"/>
  <c r="N685" i="16"/>
  <c r="O806" i="16"/>
  <c r="L805" i="16"/>
  <c r="O805" i="16" s="1"/>
  <c r="O420" i="16"/>
  <c r="L447" i="16"/>
  <c r="O447" i="16" s="1"/>
  <c r="O449" i="16"/>
  <c r="M449" i="16"/>
  <c r="L454" i="16"/>
  <c r="O454" i="16" s="1"/>
  <c r="O456" i="16"/>
  <c r="O503" i="16"/>
  <c r="L502" i="16"/>
  <c r="O502" i="16" s="1"/>
  <c r="M392" i="16"/>
  <c r="P392" i="16" s="1"/>
  <c r="P394" i="16"/>
  <c r="N470" i="16"/>
  <c r="O470" i="16" s="1"/>
  <c r="O472" i="16"/>
  <c r="O632" i="16"/>
  <c r="O687" i="16"/>
  <c r="N687" i="16"/>
  <c r="O690" i="16"/>
  <c r="N688" i="16"/>
  <c r="N754" i="16"/>
  <c r="I364" i="16"/>
  <c r="P468" i="16"/>
  <c r="N739" i="16"/>
  <c r="N737" i="16" s="1"/>
  <c r="N740" i="16"/>
  <c r="O390" i="16"/>
  <c r="M395" i="16"/>
  <c r="P395" i="16" s="1"/>
  <c r="P397" i="16"/>
  <c r="N467" i="16"/>
  <c r="I592" i="16"/>
  <c r="K592" i="16" s="1"/>
  <c r="K593" i="16"/>
  <c r="N756" i="16"/>
  <c r="N757" i="16"/>
  <c r="J365" i="16"/>
  <c r="J374" i="16"/>
  <c r="K374" i="16" s="1"/>
  <c r="O394" i="16"/>
  <c r="J417" i="16"/>
  <c r="K417" i="16" s="1"/>
  <c r="M419" i="16"/>
  <c r="L444" i="16"/>
  <c r="O444" i="16" s="1"/>
  <c r="M502" i="16"/>
  <c r="P502" i="16" s="1"/>
  <c r="L526" i="16"/>
  <c r="O526" i="16" s="1"/>
  <c r="M549" i="16"/>
  <c r="O634" i="16"/>
  <c r="L737" i="16"/>
  <c r="O737" i="16" s="1"/>
  <c r="L754" i="16"/>
  <c r="O754" i="16" s="1"/>
  <c r="L770" i="16"/>
  <c r="O770" i="16" s="1"/>
  <c r="M791" i="16"/>
  <c r="M805" i="16"/>
  <c r="P805" i="16" s="1"/>
  <c r="M545" i="16"/>
  <c r="K576" i="16"/>
  <c r="M737" i="16"/>
  <c r="P737" i="16" s="1"/>
  <c r="M754" i="16"/>
  <c r="P754" i="16" s="1"/>
  <c r="M770" i="16"/>
  <c r="P770" i="16" s="1"/>
  <c r="L786" i="16"/>
  <c r="O786" i="16" s="1"/>
  <c r="K651" i="16"/>
  <c r="P449" i="15"/>
  <c r="M446" i="15"/>
  <c r="P446" i="15" s="1"/>
  <c r="M315" i="15"/>
  <c r="P315" i="15" s="1"/>
  <c r="L279" i="10"/>
  <c r="L277" i="10" s="1"/>
  <c r="L334" i="11"/>
  <c r="O334" i="11" s="1"/>
  <c r="L72" i="14"/>
  <c r="O72" i="14" s="1"/>
  <c r="I190" i="14"/>
  <c r="K190" i="14" s="1"/>
  <c r="L446" i="14"/>
  <c r="L444" i="14" s="1"/>
  <c r="M23" i="15"/>
  <c r="M21" i="15" s="1"/>
  <c r="L33" i="15"/>
  <c r="O154" i="15"/>
  <c r="K204" i="15"/>
  <c r="L263" i="15"/>
  <c r="L261" i="15" s="1"/>
  <c r="L283" i="15"/>
  <c r="O283" i="15" s="1"/>
  <c r="M300" i="15"/>
  <c r="M298" i="15" s="1"/>
  <c r="M334" i="15"/>
  <c r="P334" i="15" s="1"/>
  <c r="I443" i="15"/>
  <c r="K443" i="15" s="1"/>
  <c r="O456" i="15"/>
  <c r="M472" i="15"/>
  <c r="M469" i="15" s="1"/>
  <c r="M467" i="15" s="1"/>
  <c r="P467" i="15" s="1"/>
  <c r="L334" i="14"/>
  <c r="O334" i="14" s="1"/>
  <c r="M395" i="14"/>
  <c r="P395" i="14" s="1"/>
  <c r="O424" i="14"/>
  <c r="I443" i="14"/>
  <c r="K443" i="14" s="1"/>
  <c r="L454" i="14"/>
  <c r="O454" i="14" s="1"/>
  <c r="J721" i="14"/>
  <c r="M55" i="15"/>
  <c r="M53" i="15" s="1"/>
  <c r="M91" i="15"/>
  <c r="K99" i="15"/>
  <c r="L122" i="15"/>
  <c r="O122" i="15" s="1"/>
  <c r="N151" i="15"/>
  <c r="N149" i="15" s="1"/>
  <c r="O173" i="15"/>
  <c r="M263" i="15"/>
  <c r="M261" i="15" s="1"/>
  <c r="M301" i="15"/>
  <c r="P301" i="15" s="1"/>
  <c r="M321" i="15"/>
  <c r="P321" i="15" s="1"/>
  <c r="P323" i="15"/>
  <c r="P336" i="15"/>
  <c r="M347" i="15"/>
  <c r="K369" i="15"/>
  <c r="K372" i="15"/>
  <c r="M391" i="15"/>
  <c r="P391" i="15" s="1"/>
  <c r="M395" i="15"/>
  <c r="P395" i="15" s="1"/>
  <c r="L404" i="15"/>
  <c r="O404" i="15" s="1"/>
  <c r="L470" i="15"/>
  <c r="O470" i="15" s="1"/>
  <c r="M549" i="15"/>
  <c r="I785" i="15"/>
  <c r="J785" i="15"/>
  <c r="K821" i="15"/>
  <c r="K824" i="15"/>
  <c r="K827" i="15"/>
  <c r="P49" i="14"/>
  <c r="K176" i="14"/>
  <c r="M334" i="14"/>
  <c r="P334" i="14" s="1"/>
  <c r="L36" i="15"/>
  <c r="M56" i="15"/>
  <c r="P56" i="15" s="1"/>
  <c r="O96" i="15"/>
  <c r="P140" i="15"/>
  <c r="O285" i="15"/>
  <c r="M304" i="15"/>
  <c r="P304" i="15" s="1"/>
  <c r="O331" i="15"/>
  <c r="O353" i="15"/>
  <c r="O472" i="15"/>
  <c r="J364" i="13"/>
  <c r="O71" i="14"/>
  <c r="I87" i="14"/>
  <c r="K87" i="14" s="1"/>
  <c r="L138" i="14"/>
  <c r="O138" i="14" s="1"/>
  <c r="M347" i="14"/>
  <c r="K359" i="14"/>
  <c r="K362" i="14"/>
  <c r="J722" i="14"/>
  <c r="L59" i="15"/>
  <c r="O59" i="15" s="1"/>
  <c r="I77" i="15"/>
  <c r="O138" i="15"/>
  <c r="L249" i="15"/>
  <c r="O249" i="15" s="1"/>
  <c r="P285" i="15"/>
  <c r="I433" i="15"/>
  <c r="O557" i="15"/>
  <c r="K561" i="15"/>
  <c r="L657" i="15"/>
  <c r="O657" i="15" s="1"/>
  <c r="K224" i="13"/>
  <c r="K823" i="13"/>
  <c r="K826" i="13"/>
  <c r="M68" i="14"/>
  <c r="M66" i="14" s="1"/>
  <c r="L187" i="14"/>
  <c r="O187" i="14" s="1"/>
  <c r="K369" i="14"/>
  <c r="M391" i="14"/>
  <c r="P391" i="14" s="1"/>
  <c r="N43" i="15"/>
  <c r="N41" i="15" s="1"/>
  <c r="N317" i="15"/>
  <c r="N315" i="15" s="1"/>
  <c r="N330" i="15"/>
  <c r="N328" i="15" s="1"/>
  <c r="K355" i="15"/>
  <c r="K378" i="15"/>
  <c r="K381" i="15"/>
  <c r="I434" i="15"/>
  <c r="K434" i="15" s="1"/>
  <c r="I442" i="15"/>
  <c r="K442" i="15" s="1"/>
  <c r="O449" i="15"/>
  <c r="J721" i="15"/>
  <c r="O791" i="15"/>
  <c r="O96" i="14"/>
  <c r="L94" i="14"/>
  <c r="O94" i="14" s="1"/>
  <c r="P137" i="14"/>
  <c r="M135" i="14"/>
  <c r="P135" i="14" s="1"/>
  <c r="M134" i="14"/>
  <c r="M132" i="14" s="1"/>
  <c r="P132" i="14" s="1"/>
  <c r="P320" i="14"/>
  <c r="M318" i="14"/>
  <c r="P318" i="14" s="1"/>
  <c r="O397" i="14"/>
  <c r="L395" i="14"/>
  <c r="O395" i="14" s="1"/>
  <c r="L24" i="15"/>
  <c r="O58" i="15"/>
  <c r="L55" i="15"/>
  <c r="L66" i="15"/>
  <c r="I130" i="15"/>
  <c r="K130" i="15" s="1"/>
  <c r="K146" i="15"/>
  <c r="N687" i="15"/>
  <c r="N688" i="15"/>
  <c r="N33" i="15"/>
  <c r="N756" i="15"/>
  <c r="N754" i="15" s="1"/>
  <c r="N757" i="15"/>
  <c r="O806" i="15"/>
  <c r="L805" i="15"/>
  <c r="O805" i="15" s="1"/>
  <c r="N68" i="11"/>
  <c r="M167" i="11"/>
  <c r="M165" i="11" s="1"/>
  <c r="I233" i="12"/>
  <c r="K233" i="12" s="1"/>
  <c r="L125" i="13"/>
  <c r="O125" i="13" s="1"/>
  <c r="M279" i="13"/>
  <c r="M277" i="13" s="1"/>
  <c r="L301" i="13"/>
  <c r="O301" i="13" s="1"/>
  <c r="K360" i="13"/>
  <c r="K708" i="13"/>
  <c r="M44" i="14"/>
  <c r="P44" i="14" s="1"/>
  <c r="N56" i="14"/>
  <c r="P56" i="14" s="1"/>
  <c r="O58" i="14"/>
  <c r="K78" i="14"/>
  <c r="P186" i="14"/>
  <c r="M184" i="14"/>
  <c r="P184" i="14" s="1"/>
  <c r="L231" i="14"/>
  <c r="M421" i="14"/>
  <c r="M419" i="14" s="1"/>
  <c r="L44" i="15"/>
  <c r="O46" i="15"/>
  <c r="L23" i="15"/>
  <c r="L21" i="15" s="1"/>
  <c r="L43" i="15"/>
  <c r="M66" i="15"/>
  <c r="P133" i="15"/>
  <c r="J164" i="15"/>
  <c r="P329" i="15"/>
  <c r="M283" i="13"/>
  <c r="P283" i="13" s="1"/>
  <c r="K355" i="13"/>
  <c r="K577" i="13"/>
  <c r="L68" i="14"/>
  <c r="L66" i="14" s="1"/>
  <c r="N121" i="14"/>
  <c r="N119" i="14" s="1"/>
  <c r="N263" i="14"/>
  <c r="N261" i="14" s="1"/>
  <c r="N267" i="14"/>
  <c r="O317" i="14"/>
  <c r="L56" i="15"/>
  <c r="O56" i="15" s="1"/>
  <c r="N69" i="15"/>
  <c r="P69" i="15" s="1"/>
  <c r="N23" i="15"/>
  <c r="N68" i="15"/>
  <c r="O68" i="15" s="1"/>
  <c r="N122" i="15"/>
  <c r="N121" i="15"/>
  <c r="N119" i="15" s="1"/>
  <c r="K164" i="15"/>
  <c r="N304" i="15"/>
  <c r="N300" i="15"/>
  <c r="N26" i="15"/>
  <c r="M408" i="15"/>
  <c r="P408" i="15" s="1"/>
  <c r="M404" i="15"/>
  <c r="P404" i="15" s="1"/>
  <c r="P410" i="15"/>
  <c r="L72" i="12"/>
  <c r="O72" i="12" s="1"/>
  <c r="K244" i="13"/>
  <c r="O410" i="13"/>
  <c r="P69" i="14"/>
  <c r="P71" i="14"/>
  <c r="L90" i="14"/>
  <c r="L88" i="14" s="1"/>
  <c r="N19" i="15"/>
  <c r="N12" i="15"/>
  <c r="P49" i="15"/>
  <c r="M47" i="15"/>
  <c r="P47" i="15" s="1"/>
  <c r="M43" i="15"/>
  <c r="M26" i="15"/>
  <c r="K78" i="15"/>
  <c r="I76" i="15"/>
  <c r="L91" i="15"/>
  <c r="O93" i="15"/>
  <c r="L90" i="15"/>
  <c r="O157" i="15"/>
  <c r="L151" i="15"/>
  <c r="N168" i="15"/>
  <c r="O168" i="15" s="1"/>
  <c r="P170" i="15"/>
  <c r="N167" i="15"/>
  <c r="N165" i="15" s="1"/>
  <c r="M181" i="15"/>
  <c r="J288" i="15"/>
  <c r="J275" i="15" s="1"/>
  <c r="I275" i="15"/>
  <c r="K822" i="11"/>
  <c r="K828" i="11"/>
  <c r="P394" i="12"/>
  <c r="O44" i="13"/>
  <c r="O58" i="13"/>
  <c r="P333" i="13"/>
  <c r="K620" i="13"/>
  <c r="O46" i="14"/>
  <c r="K98" i="14"/>
  <c r="I112" i="14"/>
  <c r="K112" i="14" s="1"/>
  <c r="I297" i="14"/>
  <c r="K297" i="14" s="1"/>
  <c r="N300" i="14"/>
  <c r="N298" i="14" s="1"/>
  <c r="L404" i="14"/>
  <c r="O404" i="14" s="1"/>
  <c r="O33" i="15"/>
  <c r="L31" i="15"/>
  <c r="K116" i="15"/>
  <c r="I112" i="15"/>
  <c r="K112" i="15" s="1"/>
  <c r="L155" i="15"/>
  <c r="O155" i="15" s="1"/>
  <c r="N184" i="15"/>
  <c r="O184" i="15" s="1"/>
  <c r="P186" i="15"/>
  <c r="N183" i="15"/>
  <c r="N181" i="15" s="1"/>
  <c r="L301" i="15"/>
  <c r="O301" i="15" s="1"/>
  <c r="O303" i="15"/>
  <c r="L300" i="15"/>
  <c r="K355" i="12"/>
  <c r="P44" i="13"/>
  <c r="M59" i="13"/>
  <c r="P59" i="13" s="1"/>
  <c r="M69" i="13"/>
  <c r="P69" i="13" s="1"/>
  <c r="O71" i="13"/>
  <c r="O140" i="13"/>
  <c r="N43" i="14"/>
  <c r="N41" i="14" s="1"/>
  <c r="O323" i="14"/>
  <c r="L321" i="14"/>
  <c r="O321" i="14" s="1"/>
  <c r="M94" i="15"/>
  <c r="P94" i="15" s="1"/>
  <c r="P96" i="15"/>
  <c r="M90" i="15"/>
  <c r="K197" i="15"/>
  <c r="L228" i="15"/>
  <c r="L238" i="15"/>
  <c r="N264" i="15"/>
  <c r="O264" i="15" s="1"/>
  <c r="P266" i="15"/>
  <c r="N263" i="15"/>
  <c r="O61" i="14"/>
  <c r="P140" i="14"/>
  <c r="L183" i="14"/>
  <c r="O186" i="14"/>
  <c r="I233" i="14"/>
  <c r="K233" i="14" s="1"/>
  <c r="L230" i="14"/>
  <c r="N279" i="14"/>
  <c r="N277" i="14" s="1"/>
  <c r="L318" i="14"/>
  <c r="O318" i="14" s="1"/>
  <c r="N317" i="14"/>
  <c r="N315" i="14" s="1"/>
  <c r="J327" i="14"/>
  <c r="K327" i="14" s="1"/>
  <c r="L347" i="14"/>
  <c r="L345" i="14" s="1"/>
  <c r="K378" i="14"/>
  <c r="N404" i="14"/>
  <c r="K647" i="14"/>
  <c r="I654" i="14"/>
  <c r="K654" i="14" s="1"/>
  <c r="K674" i="14"/>
  <c r="K824" i="14"/>
  <c r="L12" i="15"/>
  <c r="O15" i="15"/>
  <c r="L19" i="15"/>
  <c r="O22" i="15"/>
  <c r="O29" i="15"/>
  <c r="N44" i="15"/>
  <c r="P44" i="15" s="1"/>
  <c r="P46" i="15"/>
  <c r="O71" i="15"/>
  <c r="N91" i="15"/>
  <c r="O124" i="15"/>
  <c r="L135" i="15"/>
  <c r="M138" i="15"/>
  <c r="P138" i="15" s="1"/>
  <c r="P150" i="15"/>
  <c r="O170" i="15"/>
  <c r="P173" i="15"/>
  <c r="O186" i="15"/>
  <c r="P189" i="15"/>
  <c r="O266" i="15"/>
  <c r="L348" i="15"/>
  <c r="O350" i="15"/>
  <c r="L347" i="15"/>
  <c r="P390" i="15"/>
  <c r="M402" i="15"/>
  <c r="P402" i="15" s="1"/>
  <c r="O631" i="15"/>
  <c r="L629" i="15"/>
  <c r="O629" i="15" s="1"/>
  <c r="N183" i="14"/>
  <c r="N181" i="14" s="1"/>
  <c r="L249" i="14"/>
  <c r="O249" i="14" s="1"/>
  <c r="M283" i="14"/>
  <c r="P283" i="14" s="1"/>
  <c r="L392" i="14"/>
  <c r="O392" i="14" s="1"/>
  <c r="L788" i="14"/>
  <c r="O788" i="14" s="1"/>
  <c r="N55" i="15"/>
  <c r="P55" i="15" s="1"/>
  <c r="L69" i="15"/>
  <c r="M72" i="15"/>
  <c r="P72" i="15" s="1"/>
  <c r="J87" i="15"/>
  <c r="K87" i="15" s="1"/>
  <c r="L134" i="15"/>
  <c r="N135" i="15"/>
  <c r="P135" i="15" s="1"/>
  <c r="P137" i="15"/>
  <c r="K174" i="15"/>
  <c r="I216" i="15"/>
  <c r="K216" i="15" s="1"/>
  <c r="N227" i="15"/>
  <c r="J592" i="15"/>
  <c r="K592" i="15" s="1"/>
  <c r="K593" i="15"/>
  <c r="L447" i="14"/>
  <c r="O447" i="14" s="1"/>
  <c r="O472" i="14"/>
  <c r="L632" i="14"/>
  <c r="O632" i="14" s="1"/>
  <c r="O634" i="14"/>
  <c r="K244" i="15"/>
  <c r="I237" i="15"/>
  <c r="L304" i="15"/>
  <c r="O304" i="15" s="1"/>
  <c r="O306" i="15"/>
  <c r="K338" i="15"/>
  <c r="J327" i="15"/>
  <c r="K327" i="15" s="1"/>
  <c r="P303" i="14"/>
  <c r="K360" i="14"/>
  <c r="N402" i="14"/>
  <c r="K823" i="14"/>
  <c r="K826" i="14"/>
  <c r="M15" i="15"/>
  <c r="M29" i="15"/>
  <c r="P71" i="15"/>
  <c r="L167" i="15"/>
  <c r="K176" i="15"/>
  <c r="L183" i="15"/>
  <c r="L198" i="15"/>
  <c r="O198" i="15" s="1"/>
  <c r="I233" i="15"/>
  <c r="K233" i="15" s="1"/>
  <c r="O269" i="15"/>
  <c r="L334" i="15"/>
  <c r="O334" i="15" s="1"/>
  <c r="O336" i="15"/>
  <c r="P346" i="15"/>
  <c r="M345" i="15"/>
  <c r="O468" i="15"/>
  <c r="L467" i="15"/>
  <c r="O467" i="15" s="1"/>
  <c r="P316" i="15"/>
  <c r="L318" i="15"/>
  <c r="O318" i="15" s="1"/>
  <c r="L321" i="15"/>
  <c r="O321" i="15" s="1"/>
  <c r="I364" i="15"/>
  <c r="K365" i="15"/>
  <c r="P407" i="15"/>
  <c r="K577" i="15"/>
  <c r="N655" i="15"/>
  <c r="N685" i="15"/>
  <c r="O739" i="15"/>
  <c r="L737" i="15"/>
  <c r="O737" i="15" s="1"/>
  <c r="O772" i="15"/>
  <c r="L770" i="15"/>
  <c r="O770" i="15" s="1"/>
  <c r="P350" i="15"/>
  <c r="N348" i="15"/>
  <c r="P348" i="15" s="1"/>
  <c r="L422" i="15"/>
  <c r="O422" i="15" s="1"/>
  <c r="O424" i="15"/>
  <c r="M424" i="15"/>
  <c r="L429" i="15"/>
  <c r="O429" i="15" s="1"/>
  <c r="O431" i="15"/>
  <c r="I522" i="15"/>
  <c r="K522" i="15" s="1"/>
  <c r="K537" i="15"/>
  <c r="L330" i="15"/>
  <c r="K385" i="15"/>
  <c r="L421" i="15"/>
  <c r="O504" i="15"/>
  <c r="L502" i="15"/>
  <c r="O502" i="15" s="1"/>
  <c r="P524" i="15"/>
  <c r="M523" i="15"/>
  <c r="P523" i="15" s="1"/>
  <c r="N739" i="15"/>
  <c r="N740" i="15"/>
  <c r="N772" i="15"/>
  <c r="N770" i="15" s="1"/>
  <c r="N773" i="15"/>
  <c r="P688" i="15"/>
  <c r="O756" i="15"/>
  <c r="L754" i="15"/>
  <c r="O754" i="15" s="1"/>
  <c r="O333" i="15"/>
  <c r="N347" i="15"/>
  <c r="P353" i="15"/>
  <c r="N351" i="15"/>
  <c r="P351" i="15" s="1"/>
  <c r="K374" i="15"/>
  <c r="N391" i="15"/>
  <c r="N389" i="15" s="1"/>
  <c r="P469" i="15"/>
  <c r="N504" i="15"/>
  <c r="N502" i="15" s="1"/>
  <c r="N414" i="15" s="1"/>
  <c r="N505" i="15"/>
  <c r="K559" i="15"/>
  <c r="I543" i="15"/>
  <c r="K543" i="15" s="1"/>
  <c r="L632" i="15"/>
  <c r="O632" i="15" s="1"/>
  <c r="O634" i="15"/>
  <c r="M634" i="15"/>
  <c r="L639" i="15"/>
  <c r="O639" i="15" s="1"/>
  <c r="O641" i="15"/>
  <c r="P690" i="15"/>
  <c r="M687" i="15"/>
  <c r="N737" i="15"/>
  <c r="P807" i="15"/>
  <c r="M805" i="15"/>
  <c r="P805" i="15" s="1"/>
  <c r="P403" i="15"/>
  <c r="L405" i="15"/>
  <c r="O405" i="15" s="1"/>
  <c r="L408" i="15"/>
  <c r="O408" i="15" s="1"/>
  <c r="M447" i="15"/>
  <c r="P447" i="15" s="1"/>
  <c r="J537" i="15"/>
  <c r="J522" i="15" s="1"/>
  <c r="L547" i="15"/>
  <c r="O547" i="15" s="1"/>
  <c r="O656" i="15"/>
  <c r="K674" i="15"/>
  <c r="O690" i="15"/>
  <c r="I417" i="15"/>
  <c r="N447" i="15"/>
  <c r="L533" i="15"/>
  <c r="O533" i="15" s="1"/>
  <c r="L658" i="15"/>
  <c r="O658" i="15" s="1"/>
  <c r="N789" i="15"/>
  <c r="O789" i="15" s="1"/>
  <c r="J433" i="15"/>
  <c r="J417" i="15" s="1"/>
  <c r="L525" i="15"/>
  <c r="M545" i="15"/>
  <c r="K576" i="15"/>
  <c r="I628" i="15"/>
  <c r="K628" i="15" s="1"/>
  <c r="L688" i="15"/>
  <c r="O688" i="15" s="1"/>
  <c r="K592" i="14"/>
  <c r="I148" i="10"/>
  <c r="K148" i="10" s="1"/>
  <c r="O58" i="12"/>
  <c r="M72" i="12"/>
  <c r="P72" i="12" s="1"/>
  <c r="I148" i="12"/>
  <c r="K148" i="12" s="1"/>
  <c r="K224" i="12"/>
  <c r="N300" i="12"/>
  <c r="N298" i="12" s="1"/>
  <c r="L23" i="13"/>
  <c r="L209" i="13"/>
  <c r="O209" i="13" s="1"/>
  <c r="O280" i="13"/>
  <c r="K378" i="13"/>
  <c r="K381" i="13"/>
  <c r="L404" i="13"/>
  <c r="O404" i="13" s="1"/>
  <c r="K465" i="13"/>
  <c r="L36" i="13"/>
  <c r="O36" i="13" s="1"/>
  <c r="O557" i="13"/>
  <c r="L43" i="14"/>
  <c r="L41" i="14" s="1"/>
  <c r="L59" i="14"/>
  <c r="O59" i="14" s="1"/>
  <c r="M72" i="14"/>
  <c r="P72" i="14" s="1"/>
  <c r="P74" i="14"/>
  <c r="O93" i="14"/>
  <c r="K116" i="14"/>
  <c r="N125" i="14"/>
  <c r="I130" i="14"/>
  <c r="K130" i="14" s="1"/>
  <c r="L152" i="14"/>
  <c r="O152" i="14" s="1"/>
  <c r="N168" i="14"/>
  <c r="P168" i="14" s="1"/>
  <c r="L171" i="14"/>
  <c r="O171" i="14" s="1"/>
  <c r="M183" i="14"/>
  <c r="M181" i="14" s="1"/>
  <c r="K204" i="14"/>
  <c r="I237" i="14"/>
  <c r="K237" i="14" s="1"/>
  <c r="M301" i="14"/>
  <c r="P301" i="14" s="1"/>
  <c r="N318" i="14"/>
  <c r="L351" i="14"/>
  <c r="K381" i="14"/>
  <c r="L526" i="14"/>
  <c r="O526" i="14" s="1"/>
  <c r="L43" i="13"/>
  <c r="L41" i="13" s="1"/>
  <c r="I130" i="13"/>
  <c r="K130" i="13" s="1"/>
  <c r="L134" i="13"/>
  <c r="L132" i="13" s="1"/>
  <c r="P157" i="13"/>
  <c r="N90" i="14"/>
  <c r="N88" i="14" s="1"/>
  <c r="M90" i="14"/>
  <c r="M88" i="14" s="1"/>
  <c r="L135" i="14"/>
  <c r="O135" i="14" s="1"/>
  <c r="L198" i="14"/>
  <c r="O198" i="14" s="1"/>
  <c r="L209" i="14"/>
  <c r="O209" i="14" s="1"/>
  <c r="I314" i="14"/>
  <c r="K314" i="14" s="1"/>
  <c r="M317" i="14"/>
  <c r="L330" i="14"/>
  <c r="L328" i="14" s="1"/>
  <c r="M351" i="14"/>
  <c r="K355" i="14"/>
  <c r="M449" i="14"/>
  <c r="M446" i="14" s="1"/>
  <c r="P446" i="14" s="1"/>
  <c r="K465" i="14"/>
  <c r="L631" i="12"/>
  <c r="O631" i="12" s="1"/>
  <c r="P331" i="13"/>
  <c r="O353" i="13"/>
  <c r="O535" i="13"/>
  <c r="K669" i="13"/>
  <c r="O91" i="14"/>
  <c r="M155" i="14"/>
  <c r="P155" i="14" s="1"/>
  <c r="K216" i="14"/>
  <c r="M330" i="14"/>
  <c r="M328" i="14" s="1"/>
  <c r="L391" i="14"/>
  <c r="M43" i="11"/>
  <c r="M41" i="11" s="1"/>
  <c r="M47" i="11"/>
  <c r="P47" i="11" s="1"/>
  <c r="L33" i="12"/>
  <c r="L31" i="12" s="1"/>
  <c r="P280" i="13"/>
  <c r="P353" i="13"/>
  <c r="I442" i="13"/>
  <c r="K442" i="13" s="1"/>
  <c r="O56" i="14"/>
  <c r="K338" i="14"/>
  <c r="O631" i="14"/>
  <c r="K822" i="14"/>
  <c r="K828" i="14"/>
  <c r="K720" i="8"/>
  <c r="L249" i="13"/>
  <c r="O249" i="13" s="1"/>
  <c r="L134" i="14"/>
  <c r="L132" i="14" s="1"/>
  <c r="O132" i="14" s="1"/>
  <c r="M151" i="14"/>
  <c r="M149" i="14" s="1"/>
  <c r="P170" i="14"/>
  <c r="P280" i="14"/>
  <c r="K372" i="14"/>
  <c r="P9" i="14"/>
  <c r="K248" i="14"/>
  <c r="O660" i="14"/>
  <c r="M660" i="14"/>
  <c r="L658" i="14"/>
  <c r="O658" i="14" s="1"/>
  <c r="L657" i="14"/>
  <c r="O806" i="14"/>
  <c r="L805" i="14"/>
  <c r="O805" i="14" s="1"/>
  <c r="N151" i="11"/>
  <c r="N149" i="11" s="1"/>
  <c r="L263" i="12"/>
  <c r="M279" i="12"/>
  <c r="M277" i="12" s="1"/>
  <c r="M43" i="13"/>
  <c r="M41" i="13" s="1"/>
  <c r="L122" i="13"/>
  <c r="O122" i="13" s="1"/>
  <c r="N138" i="13"/>
  <c r="P138" i="13" s="1"/>
  <c r="K204" i="13"/>
  <c r="L228" i="13"/>
  <c r="K287" i="13"/>
  <c r="K340" i="13"/>
  <c r="N391" i="13"/>
  <c r="N389" i="13" s="1"/>
  <c r="K462" i="13"/>
  <c r="O479" i="13"/>
  <c r="P22" i="14"/>
  <c r="M19" i="14"/>
  <c r="N72" i="14"/>
  <c r="N68" i="14"/>
  <c r="P68" i="14" s="1"/>
  <c r="N26" i="14"/>
  <c r="J86" i="14"/>
  <c r="K86" i="14" s="1"/>
  <c r="M91" i="14"/>
  <c r="P91" i="14" s="1"/>
  <c r="L122" i="14"/>
  <c r="O122" i="14" s="1"/>
  <c r="P124" i="14"/>
  <c r="M121" i="14"/>
  <c r="I143" i="14"/>
  <c r="K145" i="14"/>
  <c r="P150" i="14"/>
  <c r="O157" i="14"/>
  <c r="L151" i="14"/>
  <c r="O151" i="14" s="1"/>
  <c r="M171" i="14"/>
  <c r="P171" i="14" s="1"/>
  <c r="L238" i="14"/>
  <c r="O282" i="14"/>
  <c r="L279" i="14"/>
  <c r="O421" i="14"/>
  <c r="P806" i="14"/>
  <c r="M805" i="14"/>
  <c r="P805" i="14" s="1"/>
  <c r="L12" i="14"/>
  <c r="M151" i="9"/>
  <c r="P151" i="9" s="1"/>
  <c r="N55" i="11"/>
  <c r="O124" i="11"/>
  <c r="O157" i="11"/>
  <c r="N404" i="11"/>
  <c r="N402" i="11" s="1"/>
  <c r="K146" i="12"/>
  <c r="K176" i="12"/>
  <c r="M183" i="12"/>
  <c r="L229" i="12"/>
  <c r="L317" i="12"/>
  <c r="O317" i="12" s="1"/>
  <c r="O323" i="12"/>
  <c r="M47" i="13"/>
  <c r="P47" i="13" s="1"/>
  <c r="M55" i="13"/>
  <c r="M53" i="13" s="1"/>
  <c r="M72" i="13"/>
  <c r="P72" i="13" s="1"/>
  <c r="L91" i="13"/>
  <c r="O91" i="13" s="1"/>
  <c r="N90" i="13"/>
  <c r="N88" i="13" s="1"/>
  <c r="O170" i="13"/>
  <c r="M330" i="13"/>
  <c r="M328" i="13" s="1"/>
  <c r="P350" i="13"/>
  <c r="K359" i="13"/>
  <c r="K365" i="13"/>
  <c r="K379" i="13"/>
  <c r="L395" i="13"/>
  <c r="O395" i="13" s="1"/>
  <c r="K537" i="13"/>
  <c r="K569" i="13"/>
  <c r="K649" i="13"/>
  <c r="O660" i="13"/>
  <c r="N19" i="14"/>
  <c r="N12" i="14"/>
  <c r="P54" i="14"/>
  <c r="P93" i="14"/>
  <c r="M122" i="14"/>
  <c r="P122" i="14" s="1"/>
  <c r="L125" i="14"/>
  <c r="O125" i="14" s="1"/>
  <c r="O127" i="14"/>
  <c r="L280" i="14"/>
  <c r="O280" i="14" s="1"/>
  <c r="P282" i="14"/>
  <c r="M279" i="14"/>
  <c r="P279" i="14" s="1"/>
  <c r="K287" i="14"/>
  <c r="P346" i="14"/>
  <c r="M345" i="14"/>
  <c r="L639" i="13"/>
  <c r="O639" i="13" s="1"/>
  <c r="L121" i="14"/>
  <c r="M151" i="12"/>
  <c r="M149" i="12" s="1"/>
  <c r="O152" i="12"/>
  <c r="L230" i="12"/>
  <c r="I785" i="12"/>
  <c r="I77" i="13"/>
  <c r="I65" i="13" s="1"/>
  <c r="K65" i="13" s="1"/>
  <c r="O93" i="13"/>
  <c r="L152" i="13"/>
  <c r="O152" i="13" s="1"/>
  <c r="L171" i="13"/>
  <c r="O171" i="13" s="1"/>
  <c r="M263" i="13"/>
  <c r="L334" i="13"/>
  <c r="O334" i="13" s="1"/>
  <c r="N330" i="13"/>
  <c r="K374" i="13"/>
  <c r="O690" i="13"/>
  <c r="J785" i="13"/>
  <c r="P12" i="14"/>
  <c r="L19" i="14"/>
  <c r="P61" i="14"/>
  <c r="M55" i="14"/>
  <c r="P55" i="14" s="1"/>
  <c r="L155" i="14"/>
  <c r="O155" i="14" s="1"/>
  <c r="O170" i="14"/>
  <c r="L167" i="14"/>
  <c r="K215" i="14"/>
  <c r="I208" i="14"/>
  <c r="K208" i="14" s="1"/>
  <c r="O266" i="14"/>
  <c r="L263" i="14"/>
  <c r="L264" i="14"/>
  <c r="O264" i="14" s="1"/>
  <c r="K435" i="14"/>
  <c r="J433" i="14"/>
  <c r="J417" i="14" s="1"/>
  <c r="I433" i="14"/>
  <c r="I559" i="14"/>
  <c r="K576" i="14"/>
  <c r="K651" i="14"/>
  <c r="I628" i="14"/>
  <c r="K628" i="14" s="1"/>
  <c r="L526" i="9"/>
  <c r="O526" i="9" s="1"/>
  <c r="K628" i="13"/>
  <c r="M68" i="11"/>
  <c r="L231" i="12"/>
  <c r="I275" i="12"/>
  <c r="L155" i="13"/>
  <c r="O155" i="13" s="1"/>
  <c r="M171" i="13"/>
  <c r="P171" i="13" s="1"/>
  <c r="L231" i="13"/>
  <c r="O320" i="13"/>
  <c r="N334" i="13"/>
  <c r="N348" i="13"/>
  <c r="L351" i="13"/>
  <c r="O351" i="13" s="1"/>
  <c r="L469" i="13"/>
  <c r="L467" i="13" s="1"/>
  <c r="K561" i="13"/>
  <c r="K647" i="13"/>
  <c r="L658" i="13"/>
  <c r="M23" i="14"/>
  <c r="L26" i="14"/>
  <c r="L24" i="14" s="1"/>
  <c r="M29" i="14"/>
  <c r="P46" i="14"/>
  <c r="M59" i="14"/>
  <c r="P59" i="14" s="1"/>
  <c r="L69" i="14"/>
  <c r="O69" i="14" s="1"/>
  <c r="M94" i="14"/>
  <c r="P94" i="14" s="1"/>
  <c r="N135" i="14"/>
  <c r="N134" i="14"/>
  <c r="N132" i="14" s="1"/>
  <c r="L168" i="14"/>
  <c r="K174" i="14"/>
  <c r="L181" i="14"/>
  <c r="O182" i="14"/>
  <c r="K255" i="14"/>
  <c r="N444" i="14"/>
  <c r="O444" i="14" s="1"/>
  <c r="P278" i="14"/>
  <c r="P56" i="13"/>
  <c r="L59" i="13"/>
  <c r="O59" i="13" s="1"/>
  <c r="N55" i="13"/>
  <c r="M183" i="13"/>
  <c r="M181" i="13" s="1"/>
  <c r="M187" i="13"/>
  <c r="P187" i="13" s="1"/>
  <c r="L298" i="13"/>
  <c r="O298" i="13" s="1"/>
  <c r="L304" i="13"/>
  <c r="O304" i="13" s="1"/>
  <c r="N300" i="13"/>
  <c r="N298" i="13" s="1"/>
  <c r="O331" i="13"/>
  <c r="L330" i="13"/>
  <c r="L328" i="13" s="1"/>
  <c r="M351" i="13"/>
  <c r="P351" i="13" s="1"/>
  <c r="K385" i="13"/>
  <c r="K594" i="13"/>
  <c r="L631" i="13"/>
  <c r="O631" i="13" s="1"/>
  <c r="K651" i="13"/>
  <c r="I785" i="13"/>
  <c r="K785" i="13" s="1"/>
  <c r="N23" i="14"/>
  <c r="N21" i="14" s="1"/>
  <c r="M26" i="14"/>
  <c r="N31" i="14"/>
  <c r="M34" i="14"/>
  <c r="P34" i="14" s="1"/>
  <c r="P35" i="14"/>
  <c r="L47" i="14"/>
  <c r="O47" i="14" s="1"/>
  <c r="L23" i="14"/>
  <c r="L21" i="14" s="1"/>
  <c r="L55" i="14"/>
  <c r="I64" i="14"/>
  <c r="K64" i="14" s="1"/>
  <c r="I77" i="14"/>
  <c r="J143" i="14"/>
  <c r="J131" i="14" s="1"/>
  <c r="K159" i="14"/>
  <c r="O535" i="14"/>
  <c r="L525" i="14"/>
  <c r="O525" i="14" s="1"/>
  <c r="L36" i="14"/>
  <c r="L533" i="14"/>
  <c r="O533" i="14" s="1"/>
  <c r="O545" i="14"/>
  <c r="L544" i="14"/>
  <c r="O544" i="14" s="1"/>
  <c r="P306" i="14"/>
  <c r="M300" i="14"/>
  <c r="N331" i="14"/>
  <c r="P333" i="14"/>
  <c r="N330" i="14"/>
  <c r="N328" i="14" s="1"/>
  <c r="P404" i="14"/>
  <c r="M402" i="14"/>
  <c r="P402" i="14" s="1"/>
  <c r="L405" i="14"/>
  <c r="O405" i="14" s="1"/>
  <c r="O407" i="14"/>
  <c r="L408" i="14"/>
  <c r="O408" i="14" s="1"/>
  <c r="O410" i="14"/>
  <c r="L547" i="14"/>
  <c r="O547" i="14" s="1"/>
  <c r="O549" i="14"/>
  <c r="L33" i="14"/>
  <c r="M549" i="14"/>
  <c r="P630" i="14"/>
  <c r="P58" i="14"/>
  <c r="M152" i="14"/>
  <c r="P152" i="14" s="1"/>
  <c r="M167" i="14"/>
  <c r="M264" i="14"/>
  <c r="P264" i="14" s="1"/>
  <c r="K271" i="14"/>
  <c r="J288" i="14"/>
  <c r="J275" i="14" s="1"/>
  <c r="O299" i="14"/>
  <c r="M304" i="14"/>
  <c r="P304" i="14" s="1"/>
  <c r="O333" i="14"/>
  <c r="K385" i="14"/>
  <c r="N391" i="14"/>
  <c r="N389" i="14" s="1"/>
  <c r="P410" i="14"/>
  <c r="M408" i="14"/>
  <c r="P408" i="14" s="1"/>
  <c r="N419" i="14"/>
  <c r="P738" i="14"/>
  <c r="M737" i="14"/>
  <c r="P737" i="14" s="1"/>
  <c r="O184" i="14"/>
  <c r="P266" i="14"/>
  <c r="I275" i="14"/>
  <c r="N351" i="14"/>
  <c r="P353" i="14"/>
  <c r="I364" i="14"/>
  <c r="K365" i="14"/>
  <c r="O403" i="14"/>
  <c r="L402" i="14"/>
  <c r="O402" i="14" s="1"/>
  <c r="P555" i="14"/>
  <c r="M545" i="14"/>
  <c r="L267" i="14"/>
  <c r="O267" i="14" s="1"/>
  <c r="N347" i="14"/>
  <c r="N345" i="14" s="1"/>
  <c r="O353" i="14"/>
  <c r="J364" i="14"/>
  <c r="O467" i="14"/>
  <c r="N737" i="14"/>
  <c r="K821" i="14"/>
  <c r="K827" i="14"/>
  <c r="L301" i="14"/>
  <c r="O301" i="14" s="1"/>
  <c r="O303" i="14"/>
  <c r="N348" i="14"/>
  <c r="P350" i="14"/>
  <c r="M469" i="14"/>
  <c r="M470" i="14"/>
  <c r="P470" i="14" s="1"/>
  <c r="J537" i="14"/>
  <c r="J522" i="14" s="1"/>
  <c r="K538" i="14"/>
  <c r="O629" i="14"/>
  <c r="P686" i="14"/>
  <c r="M685" i="14"/>
  <c r="P685" i="14" s="1"/>
  <c r="L304" i="14"/>
  <c r="O304" i="14" s="1"/>
  <c r="O306" i="14"/>
  <c r="K340" i="14"/>
  <c r="O350" i="14"/>
  <c r="K374" i="14"/>
  <c r="N422" i="14"/>
  <c r="P424" i="14"/>
  <c r="P445" i="14"/>
  <c r="N502" i="14"/>
  <c r="O557" i="14"/>
  <c r="K568" i="14"/>
  <c r="K577" i="14"/>
  <c r="K593" i="14"/>
  <c r="M631" i="14"/>
  <c r="P631" i="14" s="1"/>
  <c r="M632" i="14"/>
  <c r="P632" i="14" s="1"/>
  <c r="P634" i="14"/>
  <c r="K825" i="14"/>
  <c r="P787" i="14"/>
  <c r="M786" i="14"/>
  <c r="P786" i="14" s="1"/>
  <c r="I785" i="14"/>
  <c r="K785" i="14" s="1"/>
  <c r="K800" i="14"/>
  <c r="L470" i="14"/>
  <c r="O470" i="14" s="1"/>
  <c r="L477" i="14"/>
  <c r="O477" i="14" s="1"/>
  <c r="K675" i="14"/>
  <c r="I434" i="14"/>
  <c r="K672" i="14"/>
  <c r="L688" i="14"/>
  <c r="O688" i="14" s="1"/>
  <c r="K669" i="14"/>
  <c r="L687" i="14"/>
  <c r="M658" i="13"/>
  <c r="M657" i="13"/>
  <c r="P660" i="13"/>
  <c r="M59" i="10"/>
  <c r="P59" i="10" s="1"/>
  <c r="N151" i="10"/>
  <c r="N149" i="10" s="1"/>
  <c r="I314" i="10"/>
  <c r="K314" i="10" s="1"/>
  <c r="J722" i="10"/>
  <c r="M69" i="11"/>
  <c r="M72" i="11"/>
  <c r="P72" i="11" s="1"/>
  <c r="M134" i="11"/>
  <c r="M132" i="11" s="1"/>
  <c r="P336" i="11"/>
  <c r="N347" i="11"/>
  <c r="N345" i="11" s="1"/>
  <c r="L47" i="12"/>
  <c r="O47" i="12" s="1"/>
  <c r="N56" i="12"/>
  <c r="P56" i="12" s="1"/>
  <c r="N121" i="12"/>
  <c r="L135" i="12"/>
  <c r="O135" i="12" s="1"/>
  <c r="I237" i="12"/>
  <c r="K237" i="12" s="1"/>
  <c r="I248" i="12"/>
  <c r="K248" i="12" s="1"/>
  <c r="O350" i="12"/>
  <c r="O549" i="12"/>
  <c r="J721" i="12"/>
  <c r="O56" i="13"/>
  <c r="L55" i="13"/>
  <c r="N59" i="13"/>
  <c r="M68" i="13"/>
  <c r="P68" i="13" s="1"/>
  <c r="K81" i="13"/>
  <c r="L94" i="13"/>
  <c r="O94" i="13" s="1"/>
  <c r="N121" i="13"/>
  <c r="N119" i="13" s="1"/>
  <c r="M134" i="13"/>
  <c r="M132" i="13" s="1"/>
  <c r="N151" i="13"/>
  <c r="N149" i="13" s="1"/>
  <c r="M167" i="13"/>
  <c r="M165" i="13" s="1"/>
  <c r="L167" i="13"/>
  <c r="L198" i="13"/>
  <c r="O198" i="13" s="1"/>
  <c r="K215" i="13"/>
  <c r="L238" i="13"/>
  <c r="L263" i="13"/>
  <c r="L261" i="13" s="1"/>
  <c r="I275" i="13"/>
  <c r="P282" i="13"/>
  <c r="L321" i="13"/>
  <c r="O321" i="13" s="1"/>
  <c r="M347" i="13"/>
  <c r="P347" i="13" s="1"/>
  <c r="N395" i="13"/>
  <c r="L405" i="13"/>
  <c r="O405" i="13" s="1"/>
  <c r="M449" i="13"/>
  <c r="P449" i="13" s="1"/>
  <c r="J537" i="13"/>
  <c r="J522" i="13" s="1"/>
  <c r="M549" i="13"/>
  <c r="P549" i="13" s="1"/>
  <c r="K593" i="13"/>
  <c r="O634" i="13"/>
  <c r="L687" i="13"/>
  <c r="L685" i="13" s="1"/>
  <c r="O685" i="13" s="1"/>
  <c r="L555" i="6"/>
  <c r="O555" i="6" s="1"/>
  <c r="O424" i="9"/>
  <c r="L228" i="10"/>
  <c r="L395" i="10"/>
  <c r="O395" i="10" s="1"/>
  <c r="P264" i="11"/>
  <c r="M47" i="12"/>
  <c r="P47" i="12" s="1"/>
  <c r="M90" i="12"/>
  <c r="M88" i="12" s="1"/>
  <c r="M94" i="12"/>
  <c r="P94" i="12" s="1"/>
  <c r="I433" i="12"/>
  <c r="I417" i="12" s="1"/>
  <c r="L547" i="12"/>
  <c r="O547" i="12" s="1"/>
  <c r="K822" i="12"/>
  <c r="K828" i="12"/>
  <c r="L90" i="13"/>
  <c r="N167" i="13"/>
  <c r="N165" i="13" s="1"/>
  <c r="L187" i="13"/>
  <c r="O187" i="13" s="1"/>
  <c r="L347" i="13"/>
  <c r="O347" i="13" s="1"/>
  <c r="N404" i="13"/>
  <c r="N402" i="13" s="1"/>
  <c r="L547" i="13"/>
  <c r="O547" i="13" s="1"/>
  <c r="L657" i="13"/>
  <c r="L655" i="13" s="1"/>
  <c r="O655" i="13" s="1"/>
  <c r="J722" i="13"/>
  <c r="K722" i="13" s="1"/>
  <c r="K801" i="13"/>
  <c r="K821" i="13"/>
  <c r="K824" i="13"/>
  <c r="K827" i="13"/>
  <c r="O186" i="10"/>
  <c r="L408" i="10"/>
  <c r="O408" i="10" s="1"/>
  <c r="N391" i="11"/>
  <c r="N389" i="11" s="1"/>
  <c r="I148" i="13"/>
  <c r="K148" i="13" s="1"/>
  <c r="I174" i="13"/>
  <c r="K216" i="13"/>
  <c r="N263" i="13"/>
  <c r="N261" i="13" s="1"/>
  <c r="O285" i="13"/>
  <c r="I297" i="13"/>
  <c r="K297" i="13" s="1"/>
  <c r="O333" i="13"/>
  <c r="O407" i="13"/>
  <c r="K673" i="13"/>
  <c r="K372" i="11"/>
  <c r="K385" i="11"/>
  <c r="K435" i="11"/>
  <c r="L55" i="12"/>
  <c r="L53" i="12" s="1"/>
  <c r="I77" i="12"/>
  <c r="I65" i="12" s="1"/>
  <c r="K65" i="12" s="1"/>
  <c r="K111" i="12"/>
  <c r="N263" i="12"/>
  <c r="N347" i="12"/>
  <c r="N345" i="12" s="1"/>
  <c r="L421" i="12"/>
  <c r="O421" i="12" s="1"/>
  <c r="K647" i="12"/>
  <c r="K823" i="12"/>
  <c r="I76" i="13"/>
  <c r="K76" i="13" s="1"/>
  <c r="L121" i="13"/>
  <c r="L151" i="13"/>
  <c r="O151" i="13" s="1"/>
  <c r="N264" i="13"/>
  <c r="O264" i="13" s="1"/>
  <c r="L267" i="13"/>
  <c r="O267" i="13" s="1"/>
  <c r="L317" i="13"/>
  <c r="O317" i="13" s="1"/>
  <c r="M348" i="13"/>
  <c r="L391" i="13"/>
  <c r="O391" i="13" s="1"/>
  <c r="I434" i="13"/>
  <c r="O456" i="13"/>
  <c r="I654" i="13"/>
  <c r="K654" i="13" s="1"/>
  <c r="K674" i="13"/>
  <c r="K723" i="13"/>
  <c r="K822" i="13"/>
  <c r="K825" i="13"/>
  <c r="K828" i="13"/>
  <c r="P46" i="12"/>
  <c r="P184" i="12"/>
  <c r="L300" i="12"/>
  <c r="L298" i="12" s="1"/>
  <c r="M151" i="13"/>
  <c r="M149" i="13" s="1"/>
  <c r="L183" i="13"/>
  <c r="L181" i="13" s="1"/>
  <c r="K369" i="13"/>
  <c r="J721" i="13"/>
  <c r="K721" i="13" s="1"/>
  <c r="K559" i="12"/>
  <c r="I543" i="12"/>
  <c r="K543" i="12" s="1"/>
  <c r="P12" i="13"/>
  <c r="O69" i="12"/>
  <c r="K672" i="12"/>
  <c r="K669" i="12"/>
  <c r="O12" i="13"/>
  <c r="L9" i="13"/>
  <c r="O25" i="13"/>
  <c r="L15" i="13"/>
  <c r="M91" i="13"/>
  <c r="P91" i="13" s="1"/>
  <c r="P93" i="13"/>
  <c r="K86" i="13"/>
  <c r="N184" i="13"/>
  <c r="O184" i="13" s="1"/>
  <c r="P186" i="13"/>
  <c r="N183" i="13"/>
  <c r="K193" i="13"/>
  <c r="I190" i="13"/>
  <c r="K190" i="13" s="1"/>
  <c r="J275" i="13"/>
  <c r="K288" i="13"/>
  <c r="J327" i="13"/>
  <c r="K327" i="13" s="1"/>
  <c r="K338" i="13"/>
  <c r="M90" i="10"/>
  <c r="M88" i="10" s="1"/>
  <c r="L90" i="11"/>
  <c r="L88" i="11" s="1"/>
  <c r="L134" i="11"/>
  <c r="L263" i="11"/>
  <c r="L261" i="11" s="1"/>
  <c r="O266" i="11"/>
  <c r="K370" i="11"/>
  <c r="K378" i="11"/>
  <c r="K381" i="11"/>
  <c r="I522" i="11"/>
  <c r="K522" i="11" s="1"/>
  <c r="L36" i="12"/>
  <c r="M135" i="12"/>
  <c r="P135" i="12" s="1"/>
  <c r="I208" i="12"/>
  <c r="K208" i="12" s="1"/>
  <c r="I297" i="12"/>
  <c r="K297" i="12" s="1"/>
  <c r="N301" i="12"/>
  <c r="O301" i="12" s="1"/>
  <c r="O303" i="12"/>
  <c r="N317" i="12"/>
  <c r="N315" i="12" s="1"/>
  <c r="M330" i="12"/>
  <c r="M328" i="12" s="1"/>
  <c r="K378" i="12"/>
  <c r="K381" i="12"/>
  <c r="J537" i="12"/>
  <c r="J522" i="12" s="1"/>
  <c r="L789" i="12"/>
  <c r="O789" i="12" s="1"/>
  <c r="O791" i="12"/>
  <c r="K821" i="12"/>
  <c r="K824" i="12"/>
  <c r="K827" i="12"/>
  <c r="N23" i="13"/>
  <c r="O23" i="13" s="1"/>
  <c r="O54" i="13"/>
  <c r="N68" i="13"/>
  <c r="N66" i="13" s="1"/>
  <c r="I143" i="13"/>
  <c r="K145" i="13"/>
  <c r="M424" i="13"/>
  <c r="L422" i="13"/>
  <c r="O422" i="13" s="1"/>
  <c r="O424" i="13"/>
  <c r="L421" i="13"/>
  <c r="O421" i="13" s="1"/>
  <c r="L33" i="13"/>
  <c r="L13" i="13" s="1"/>
  <c r="L526" i="13"/>
  <c r="O526" i="13" s="1"/>
  <c r="O528" i="13"/>
  <c r="L525" i="13"/>
  <c r="I434" i="2"/>
  <c r="I418" i="2" s="1"/>
  <c r="K418" i="2" s="1"/>
  <c r="L231" i="10"/>
  <c r="K647" i="10"/>
  <c r="N26" i="12"/>
  <c r="N16" i="12" s="1"/>
  <c r="N183" i="12"/>
  <c r="N9" i="13"/>
  <c r="L19" i="13"/>
  <c r="N15" i="13"/>
  <c r="O32" i="13"/>
  <c r="L29" i="13"/>
  <c r="N135" i="13"/>
  <c r="O135" i="13" s="1"/>
  <c r="P137" i="13"/>
  <c r="O137" i="13"/>
  <c r="N134" i="13"/>
  <c r="L391" i="11"/>
  <c r="O391" i="11" s="1"/>
  <c r="L43" i="12"/>
  <c r="L41" i="12" s="1"/>
  <c r="P58" i="12"/>
  <c r="L91" i="12"/>
  <c r="L121" i="12"/>
  <c r="O121" i="12" s="1"/>
  <c r="L187" i="12"/>
  <c r="O187" i="12" s="1"/>
  <c r="I260" i="12"/>
  <c r="K260" i="12" s="1"/>
  <c r="L264" i="12"/>
  <c r="L334" i="12"/>
  <c r="O334" i="12" s="1"/>
  <c r="L347" i="12"/>
  <c r="L345" i="12" s="1"/>
  <c r="I364" i="12"/>
  <c r="N391" i="12"/>
  <c r="N389" i="12" s="1"/>
  <c r="K568" i="12"/>
  <c r="M19" i="13"/>
  <c r="L21" i="13"/>
  <c r="N30" i="13"/>
  <c r="M90" i="13"/>
  <c r="M94" i="13"/>
  <c r="P94" i="13" s="1"/>
  <c r="P96" i="13"/>
  <c r="L121" i="11"/>
  <c r="L119" i="11" s="1"/>
  <c r="I364" i="11"/>
  <c r="K651" i="11"/>
  <c r="M44" i="12"/>
  <c r="P44" i="12" s="1"/>
  <c r="O46" i="12"/>
  <c r="M121" i="12"/>
  <c r="P121" i="12" s="1"/>
  <c r="L151" i="12"/>
  <c r="L149" i="12" s="1"/>
  <c r="O170" i="12"/>
  <c r="J275" i="12"/>
  <c r="M334" i="12"/>
  <c r="P334" i="12" s="1"/>
  <c r="P353" i="12"/>
  <c r="K362" i="12"/>
  <c r="M404" i="12"/>
  <c r="P404" i="12" s="1"/>
  <c r="K720" i="12"/>
  <c r="N19" i="13"/>
  <c r="M26" i="13"/>
  <c r="N31" i="13"/>
  <c r="N29" i="13"/>
  <c r="O46" i="13"/>
  <c r="M23" i="13"/>
  <c r="M21" i="13" s="1"/>
  <c r="P58" i="13"/>
  <c r="M66" i="13"/>
  <c r="P66" i="13" s="1"/>
  <c r="O74" i="13"/>
  <c r="O89" i="13"/>
  <c r="J87" i="13"/>
  <c r="K87" i="13" s="1"/>
  <c r="K99" i="13"/>
  <c r="P124" i="13"/>
  <c r="M121" i="13"/>
  <c r="P121" i="13" s="1"/>
  <c r="O186" i="13"/>
  <c r="O61" i="11"/>
  <c r="I190" i="11"/>
  <c r="K190" i="11" s="1"/>
  <c r="P353" i="11"/>
  <c r="I434" i="11"/>
  <c r="I418" i="11" s="1"/>
  <c r="K418" i="11" s="1"/>
  <c r="K594" i="11"/>
  <c r="N68" i="12"/>
  <c r="N66" i="12" s="1"/>
  <c r="P124" i="12"/>
  <c r="M171" i="12"/>
  <c r="P171" i="12" s="1"/>
  <c r="I276" i="12"/>
  <c r="K276" i="12" s="1"/>
  <c r="M280" i="12"/>
  <c r="M283" i="12"/>
  <c r="P283" i="12" s="1"/>
  <c r="P351" i="12"/>
  <c r="K369" i="12"/>
  <c r="K372" i="12"/>
  <c r="N404" i="12"/>
  <c r="N402" i="12" s="1"/>
  <c r="I628" i="12"/>
  <c r="K628" i="12" s="1"/>
  <c r="M15" i="13"/>
  <c r="P22" i="13"/>
  <c r="N26" i="13"/>
  <c r="N16" i="13" s="1"/>
  <c r="M29" i="13"/>
  <c r="P35" i="13"/>
  <c r="N43" i="13"/>
  <c r="P46" i="13"/>
  <c r="L47" i="13"/>
  <c r="O47" i="13" s="1"/>
  <c r="L26" i="13"/>
  <c r="L20" i="13" s="1"/>
  <c r="L68" i="13"/>
  <c r="I112" i="13"/>
  <c r="K112" i="13" s="1"/>
  <c r="K115" i="13"/>
  <c r="K271" i="13"/>
  <c r="I260" i="13"/>
  <c r="K260" i="13" s="1"/>
  <c r="N321" i="13"/>
  <c r="N317" i="13"/>
  <c r="N315" i="13" s="1"/>
  <c r="P397" i="13"/>
  <c r="M395" i="13"/>
  <c r="P395" i="13" s="1"/>
  <c r="K649" i="12"/>
  <c r="K701" i="12"/>
  <c r="J785" i="12"/>
  <c r="P140" i="13"/>
  <c r="P152" i="13"/>
  <c r="N168" i="13"/>
  <c r="O168" i="13" s="1"/>
  <c r="P170" i="13"/>
  <c r="O266" i="13"/>
  <c r="N279" i="13"/>
  <c r="O350" i="13"/>
  <c r="K435" i="13"/>
  <c r="J433" i="13"/>
  <c r="J417" i="13" s="1"/>
  <c r="N444" i="13"/>
  <c r="N414" i="13" s="1"/>
  <c r="N786" i="13"/>
  <c r="M261" i="13"/>
  <c r="P266" i="13"/>
  <c r="M264" i="13"/>
  <c r="O431" i="13"/>
  <c r="L429" i="13"/>
  <c r="O429" i="13" s="1"/>
  <c r="P687" i="13"/>
  <c r="M685" i="13"/>
  <c r="P685" i="13" s="1"/>
  <c r="O738" i="13"/>
  <c r="L737" i="13"/>
  <c r="O737" i="13" s="1"/>
  <c r="P756" i="13"/>
  <c r="M754" i="13"/>
  <c r="P754" i="13" s="1"/>
  <c r="P154" i="13"/>
  <c r="K197" i="13"/>
  <c r="L217" i="13"/>
  <c r="O217" i="13" s="1"/>
  <c r="P303" i="13"/>
  <c r="M301" i="13"/>
  <c r="P301" i="13" s="1"/>
  <c r="P320" i="13"/>
  <c r="M318" i="13"/>
  <c r="P318" i="13" s="1"/>
  <c r="M317" i="13"/>
  <c r="P317" i="13" s="1"/>
  <c r="K325" i="13"/>
  <c r="M334" i="13"/>
  <c r="P334" i="13" s="1"/>
  <c r="L392" i="13"/>
  <c r="O392" i="13" s="1"/>
  <c r="M391" i="13"/>
  <c r="J143" i="13"/>
  <c r="J131" i="13" s="1"/>
  <c r="K237" i="13"/>
  <c r="P262" i="13"/>
  <c r="P269" i="13"/>
  <c r="M267" i="13"/>
  <c r="P267" i="13" s="1"/>
  <c r="O316" i="13"/>
  <c r="P336" i="13"/>
  <c r="O346" i="13"/>
  <c r="O348" i="13"/>
  <c r="M392" i="13"/>
  <c r="P392" i="13" s="1"/>
  <c r="I417" i="13"/>
  <c r="K708" i="12"/>
  <c r="K144" i="13"/>
  <c r="L229" i="13"/>
  <c r="I233" i="13"/>
  <c r="K233" i="13" s="1"/>
  <c r="I248" i="13"/>
  <c r="K248" i="13" s="1"/>
  <c r="L279" i="13"/>
  <c r="O282" i="13"/>
  <c r="P299" i="13"/>
  <c r="P306" i="13"/>
  <c r="M304" i="13"/>
  <c r="P304" i="13" s="1"/>
  <c r="P316" i="13"/>
  <c r="K370" i="13"/>
  <c r="K372" i="13"/>
  <c r="P394" i="13"/>
  <c r="O403" i="13"/>
  <c r="M405" i="13"/>
  <c r="P405" i="13" s="1"/>
  <c r="P407" i="13"/>
  <c r="N469" i="13"/>
  <c r="N470" i="13"/>
  <c r="P545" i="13"/>
  <c r="N544" i="13"/>
  <c r="K560" i="13"/>
  <c r="O686" i="13"/>
  <c r="O755" i="13"/>
  <c r="L754" i="13"/>
  <c r="O754" i="13" s="1"/>
  <c r="P772" i="13"/>
  <c r="M770" i="13"/>
  <c r="P770" i="13" s="1"/>
  <c r="L789" i="13"/>
  <c r="O789" i="13" s="1"/>
  <c r="O791" i="13"/>
  <c r="M791" i="13"/>
  <c r="P807" i="13"/>
  <c r="M805" i="13"/>
  <c r="P805" i="13" s="1"/>
  <c r="M688" i="13"/>
  <c r="P688" i="13" s="1"/>
  <c r="P690" i="13"/>
  <c r="O771" i="13"/>
  <c r="L770" i="13"/>
  <c r="O770" i="13" s="1"/>
  <c r="N788" i="13"/>
  <c r="N789" i="13"/>
  <c r="O806" i="13"/>
  <c r="L805" i="13"/>
  <c r="O805" i="13" s="1"/>
  <c r="O449" i="13"/>
  <c r="N447" i="13"/>
  <c r="O447" i="13" s="1"/>
  <c r="K559" i="13"/>
  <c r="I543" i="13"/>
  <c r="K543" i="13" s="1"/>
  <c r="M631" i="13"/>
  <c r="M632" i="13"/>
  <c r="P632" i="13" s="1"/>
  <c r="P634" i="13"/>
  <c r="O788" i="13"/>
  <c r="L786" i="13"/>
  <c r="M321" i="13"/>
  <c r="P321" i="13" s="1"/>
  <c r="P410" i="13"/>
  <c r="N467" i="13"/>
  <c r="K362" i="13"/>
  <c r="K466" i="13"/>
  <c r="L470" i="13"/>
  <c r="O472" i="13"/>
  <c r="M472" i="13"/>
  <c r="K568" i="13"/>
  <c r="K621" i="13"/>
  <c r="O687" i="13"/>
  <c r="P739" i="13"/>
  <c r="M737" i="13"/>
  <c r="P737" i="13" s="1"/>
  <c r="L446" i="13"/>
  <c r="K576" i="13"/>
  <c r="L632" i="13"/>
  <c r="O632" i="13" s="1"/>
  <c r="N658" i="13"/>
  <c r="K675" i="13"/>
  <c r="L546" i="13"/>
  <c r="L688" i="13"/>
  <c r="O688" i="13" s="1"/>
  <c r="P549" i="12"/>
  <c r="M546" i="12"/>
  <c r="K143" i="12"/>
  <c r="I131" i="12"/>
  <c r="K131" i="12" s="1"/>
  <c r="P791" i="12"/>
  <c r="M788" i="12"/>
  <c r="L261" i="12"/>
  <c r="K365" i="12"/>
  <c r="M321" i="12"/>
  <c r="P321" i="12" s="1"/>
  <c r="I76" i="11"/>
  <c r="K76" i="11" s="1"/>
  <c r="N183" i="11"/>
  <c r="N181" i="11" s="1"/>
  <c r="N317" i="11"/>
  <c r="N315" i="11" s="1"/>
  <c r="P61" i="12"/>
  <c r="K81" i="12"/>
  <c r="L125" i="12"/>
  <c r="O125" i="12" s="1"/>
  <c r="N187" i="12"/>
  <c r="K193" i="12"/>
  <c r="N261" i="12"/>
  <c r="N264" i="12"/>
  <c r="O266" i="12"/>
  <c r="K374" i="12"/>
  <c r="L391" i="12"/>
  <c r="O391" i="12" s="1"/>
  <c r="L395" i="12"/>
  <c r="O395" i="12" s="1"/>
  <c r="M424" i="12"/>
  <c r="P424" i="12" s="1"/>
  <c r="K538" i="12"/>
  <c r="K560" i="12"/>
  <c r="M634" i="12"/>
  <c r="M631" i="12" s="1"/>
  <c r="P631" i="12" s="1"/>
  <c r="K801" i="12"/>
  <c r="N55" i="6"/>
  <c r="N53" i="6" s="1"/>
  <c r="L229" i="10"/>
  <c r="O264" i="11"/>
  <c r="M279" i="11"/>
  <c r="M277" i="11" s="1"/>
  <c r="L23" i="12"/>
  <c r="L13" i="12" s="1"/>
  <c r="L59" i="12"/>
  <c r="I76" i="12"/>
  <c r="K76" i="12" s="1"/>
  <c r="K145" i="12"/>
  <c r="L155" i="12"/>
  <c r="O155" i="12" s="1"/>
  <c r="L183" i="12"/>
  <c r="P266" i="12"/>
  <c r="L279" i="12"/>
  <c r="L277" i="12" s="1"/>
  <c r="O306" i="12"/>
  <c r="M331" i="12"/>
  <c r="P331" i="12" s="1"/>
  <c r="N405" i="12"/>
  <c r="L422" i="12"/>
  <c r="O422" i="12" s="1"/>
  <c r="L469" i="12"/>
  <c r="L467" i="12" s="1"/>
  <c r="O467" i="12" s="1"/>
  <c r="O535" i="12"/>
  <c r="L632" i="12"/>
  <c r="O632" i="12" s="1"/>
  <c r="L788" i="12"/>
  <c r="O788" i="12" s="1"/>
  <c r="N167" i="11"/>
  <c r="L351" i="12"/>
  <c r="O351" i="12" s="1"/>
  <c r="L125" i="10"/>
  <c r="O125" i="10" s="1"/>
  <c r="L230" i="10"/>
  <c r="K355" i="11"/>
  <c r="L469" i="11"/>
  <c r="O660" i="11"/>
  <c r="O44" i="12"/>
  <c r="N167" i="12"/>
  <c r="N165" i="12" s="1"/>
  <c r="P170" i="12"/>
  <c r="L198" i="12"/>
  <c r="O198" i="12" s="1"/>
  <c r="L267" i="12"/>
  <c r="O267" i="12" s="1"/>
  <c r="L318" i="12"/>
  <c r="O318" i="12" s="1"/>
  <c r="P333" i="12"/>
  <c r="J327" i="12"/>
  <c r="K327" i="12" s="1"/>
  <c r="O353" i="12"/>
  <c r="K359" i="12"/>
  <c r="K370" i="12"/>
  <c r="K385" i="12"/>
  <c r="L404" i="12"/>
  <c r="L408" i="12"/>
  <c r="O408" i="12" s="1"/>
  <c r="O424" i="12"/>
  <c r="I442" i="12"/>
  <c r="K442" i="12" s="1"/>
  <c r="I522" i="12"/>
  <c r="K522" i="12" s="1"/>
  <c r="L546" i="12"/>
  <c r="L544" i="12" s="1"/>
  <c r="O544" i="12" s="1"/>
  <c r="K621" i="12"/>
  <c r="O634" i="12"/>
  <c r="L657" i="12"/>
  <c r="L687" i="12"/>
  <c r="L685" i="12" s="1"/>
  <c r="O685" i="12" s="1"/>
  <c r="J722" i="12"/>
  <c r="K803" i="12"/>
  <c r="N330" i="12"/>
  <c r="N328" i="12" s="1"/>
  <c r="M125" i="10"/>
  <c r="P125" i="10" s="1"/>
  <c r="K338" i="10"/>
  <c r="L59" i="11"/>
  <c r="O59" i="11" s="1"/>
  <c r="N263" i="11"/>
  <c r="N261" i="11" s="1"/>
  <c r="O303" i="11"/>
  <c r="N300" i="11"/>
  <c r="N298" i="11" s="1"/>
  <c r="L392" i="11"/>
  <c r="O392" i="11" s="1"/>
  <c r="O394" i="11"/>
  <c r="K649" i="11"/>
  <c r="N43" i="12"/>
  <c r="N90" i="12"/>
  <c r="N88" i="12" s="1"/>
  <c r="L90" i="12"/>
  <c r="L88" i="12" s="1"/>
  <c r="L122" i="12"/>
  <c r="O122" i="12" s="1"/>
  <c r="P127" i="12"/>
  <c r="O157" i="12"/>
  <c r="L348" i="12"/>
  <c r="O348" i="12" s="1"/>
  <c r="L392" i="12"/>
  <c r="O392" i="12" s="1"/>
  <c r="P397" i="12"/>
  <c r="L525" i="12"/>
  <c r="O525" i="12" s="1"/>
  <c r="O140" i="10"/>
  <c r="L152" i="10"/>
  <c r="O152" i="10" s="1"/>
  <c r="M321" i="10"/>
  <c r="P321" i="10" s="1"/>
  <c r="K365" i="10"/>
  <c r="K379" i="10"/>
  <c r="M395" i="10"/>
  <c r="P395" i="10" s="1"/>
  <c r="N121" i="11"/>
  <c r="N119" i="11" s="1"/>
  <c r="P125" i="11"/>
  <c r="K374" i="11"/>
  <c r="L547" i="11"/>
  <c r="O547" i="11" s="1"/>
  <c r="L657" i="11"/>
  <c r="O657" i="11" s="1"/>
  <c r="K823" i="11"/>
  <c r="N119" i="12"/>
  <c r="N168" i="12"/>
  <c r="O168" i="12" s="1"/>
  <c r="O186" i="12"/>
  <c r="O285" i="12"/>
  <c r="K340" i="12"/>
  <c r="K360" i="12"/>
  <c r="K673" i="12"/>
  <c r="N9" i="12"/>
  <c r="O320" i="11"/>
  <c r="L318" i="11"/>
  <c r="O318" i="11" s="1"/>
  <c r="L447" i="11"/>
  <c r="M449" i="11"/>
  <c r="M446" i="11" s="1"/>
  <c r="M444" i="11" s="1"/>
  <c r="N15" i="12"/>
  <c r="P71" i="12"/>
  <c r="M68" i="12"/>
  <c r="M66" i="12" s="1"/>
  <c r="P120" i="12"/>
  <c r="K144" i="12"/>
  <c r="J143" i="12"/>
  <c r="J131" i="12" s="1"/>
  <c r="L228" i="12"/>
  <c r="L249" i="12"/>
  <c r="O249" i="12" s="1"/>
  <c r="P299" i="12"/>
  <c r="P306" i="12"/>
  <c r="M304" i="12"/>
  <c r="P304" i="12" s="1"/>
  <c r="O446" i="12"/>
  <c r="L444" i="12"/>
  <c r="O444" i="12" s="1"/>
  <c r="P807" i="12"/>
  <c r="M805" i="12"/>
  <c r="P805" i="12" s="1"/>
  <c r="I87" i="4"/>
  <c r="K87" i="4" s="1"/>
  <c r="N263" i="9"/>
  <c r="N261" i="9" s="1"/>
  <c r="N330" i="9"/>
  <c r="N328" i="9" s="1"/>
  <c r="J722" i="9"/>
  <c r="N56" i="10"/>
  <c r="L477" i="10"/>
  <c r="O477" i="10" s="1"/>
  <c r="N134" i="11"/>
  <c r="N132" i="11" s="1"/>
  <c r="N184" i="11"/>
  <c r="O184" i="11" s="1"/>
  <c r="N267" i="11"/>
  <c r="K271" i="11"/>
  <c r="I260" i="11"/>
  <c r="K260" i="11" s="1"/>
  <c r="O690" i="11"/>
  <c r="L688" i="11"/>
  <c r="O688" i="11" s="1"/>
  <c r="M23" i="12"/>
  <c r="M21" i="12" s="1"/>
  <c r="M69" i="12"/>
  <c r="P69" i="12" s="1"/>
  <c r="P133" i="12"/>
  <c r="O140" i="12"/>
  <c r="L134" i="12"/>
  <c r="P350" i="12"/>
  <c r="M347" i="12"/>
  <c r="M391" i="3"/>
  <c r="P391" i="3" s="1"/>
  <c r="N167" i="5"/>
  <c r="N151" i="7"/>
  <c r="N149" i="7" s="1"/>
  <c r="N263" i="7"/>
  <c r="N261" i="7" s="1"/>
  <c r="I276" i="9"/>
  <c r="K276" i="9" s="1"/>
  <c r="N152" i="10"/>
  <c r="K244" i="10"/>
  <c r="K255" i="10"/>
  <c r="O125" i="11"/>
  <c r="M348" i="11"/>
  <c r="P348" i="11" s="1"/>
  <c r="M347" i="11"/>
  <c r="P350" i="11"/>
  <c r="O33" i="12"/>
  <c r="L138" i="12"/>
  <c r="O138" i="12" s="1"/>
  <c r="M26" i="12"/>
  <c r="P140" i="12"/>
  <c r="O150" i="12"/>
  <c r="M152" i="12"/>
  <c r="P152" i="12" s="1"/>
  <c r="P154" i="12"/>
  <c r="K174" i="12"/>
  <c r="O182" i="12"/>
  <c r="N280" i="12"/>
  <c r="O280" i="12" s="1"/>
  <c r="P282" i="12"/>
  <c r="N279" i="12"/>
  <c r="M348" i="12"/>
  <c r="P348" i="12" s="1"/>
  <c r="L347" i="8"/>
  <c r="L345" i="8" s="1"/>
  <c r="M472" i="8"/>
  <c r="M470" i="8" s="1"/>
  <c r="P470" i="8" s="1"/>
  <c r="J722" i="8"/>
  <c r="I148" i="9"/>
  <c r="K148" i="9" s="1"/>
  <c r="L43" i="10"/>
  <c r="L41" i="10" s="1"/>
  <c r="L47" i="10"/>
  <c r="O47" i="10" s="1"/>
  <c r="M68" i="10"/>
  <c r="M66" i="10" s="1"/>
  <c r="N167" i="10"/>
  <c r="N165" i="10" s="1"/>
  <c r="M26" i="11"/>
  <c r="L26" i="11"/>
  <c r="L24" i="11" s="1"/>
  <c r="N90" i="11"/>
  <c r="N88" i="11" s="1"/>
  <c r="L94" i="11"/>
  <c r="O94" i="11" s="1"/>
  <c r="I148" i="11"/>
  <c r="K148" i="11" s="1"/>
  <c r="P12" i="12"/>
  <c r="N19" i="12"/>
  <c r="I86" i="12"/>
  <c r="K86" i="12" s="1"/>
  <c r="K98" i="12"/>
  <c r="M138" i="12"/>
  <c r="P138" i="12" s="1"/>
  <c r="O154" i="12"/>
  <c r="N151" i="12"/>
  <c r="O173" i="12"/>
  <c r="L167" i="12"/>
  <c r="P182" i="12"/>
  <c r="M181" i="12"/>
  <c r="I197" i="12"/>
  <c r="K197" i="12" s="1"/>
  <c r="K204" i="12"/>
  <c r="L238" i="12"/>
  <c r="K594" i="8"/>
  <c r="O93" i="10"/>
  <c r="N44" i="11"/>
  <c r="P44" i="11" s="1"/>
  <c r="N23" i="11"/>
  <c r="N21" i="11" s="1"/>
  <c r="L55" i="11"/>
  <c r="O55" i="11" s="1"/>
  <c r="K78" i="11"/>
  <c r="I87" i="11"/>
  <c r="K87" i="11" s="1"/>
  <c r="P140" i="11"/>
  <c r="L198" i="11"/>
  <c r="O198" i="11" s="1"/>
  <c r="I208" i="11"/>
  <c r="K208" i="11" s="1"/>
  <c r="L279" i="11"/>
  <c r="K338" i="11"/>
  <c r="M424" i="11"/>
  <c r="M421" i="11" s="1"/>
  <c r="M419" i="11" s="1"/>
  <c r="L422" i="11"/>
  <c r="O422" i="11" s="1"/>
  <c r="K462" i="11"/>
  <c r="I443" i="11"/>
  <c r="K443" i="11" s="1"/>
  <c r="P32" i="12"/>
  <c r="M29" i="12"/>
  <c r="O89" i="12"/>
  <c r="K225" i="12"/>
  <c r="K360" i="8"/>
  <c r="I260" i="10"/>
  <c r="K260" i="10" s="1"/>
  <c r="K827" i="10"/>
  <c r="I77" i="11"/>
  <c r="I65" i="11" s="1"/>
  <c r="K65" i="11" s="1"/>
  <c r="M122" i="11"/>
  <c r="P122" i="11" s="1"/>
  <c r="M121" i="11"/>
  <c r="O127" i="11"/>
  <c r="P25" i="12"/>
  <c r="M15" i="12"/>
  <c r="M9" i="12" s="1"/>
  <c r="N29" i="12"/>
  <c r="N28" i="12" s="1"/>
  <c r="N31" i="12"/>
  <c r="O31" i="12" s="1"/>
  <c r="O71" i="12"/>
  <c r="L68" i="12"/>
  <c r="N91" i="12"/>
  <c r="N23" i="12"/>
  <c r="P166" i="12"/>
  <c r="L171" i="12"/>
  <c r="O171" i="12" s="1"/>
  <c r="L209" i="12"/>
  <c r="O209" i="12" s="1"/>
  <c r="O299" i="12"/>
  <c r="P320" i="12"/>
  <c r="M317" i="12"/>
  <c r="I314" i="12"/>
  <c r="K314" i="12" s="1"/>
  <c r="K325" i="12"/>
  <c r="K338" i="12"/>
  <c r="L23" i="11"/>
  <c r="P152" i="11"/>
  <c r="L230" i="11"/>
  <c r="M263" i="11"/>
  <c r="O301" i="11"/>
  <c r="K340" i="11"/>
  <c r="O353" i="11"/>
  <c r="K359" i="11"/>
  <c r="K362" i="11"/>
  <c r="K379" i="11"/>
  <c r="L405" i="11"/>
  <c r="O405" i="11" s="1"/>
  <c r="K647" i="11"/>
  <c r="J721" i="11"/>
  <c r="L15" i="12"/>
  <c r="L29" i="12"/>
  <c r="N59" i="12"/>
  <c r="P59" i="12" s="1"/>
  <c r="L94" i="12"/>
  <c r="O94" i="12" s="1"/>
  <c r="I112" i="12"/>
  <c r="K112" i="12" s="1"/>
  <c r="P157" i="12"/>
  <c r="M168" i="12"/>
  <c r="N181" i="12"/>
  <c r="L184" i="12"/>
  <c r="O184" i="12" s="1"/>
  <c r="M187" i="12"/>
  <c r="P187" i="12" s="1"/>
  <c r="P269" i="12"/>
  <c r="M267" i="12"/>
  <c r="P267" i="12" s="1"/>
  <c r="O282" i="12"/>
  <c r="O772" i="12"/>
  <c r="L770" i="12"/>
  <c r="O770" i="12" s="1"/>
  <c r="L231" i="11"/>
  <c r="P303" i="12"/>
  <c r="M301" i="12"/>
  <c r="O316" i="12"/>
  <c r="N756" i="12"/>
  <c r="N754" i="12" s="1"/>
  <c r="N757" i="12"/>
  <c r="L183" i="11"/>
  <c r="I276" i="11"/>
  <c r="K276" i="11" s="1"/>
  <c r="L300" i="11"/>
  <c r="L298" i="11" s="1"/>
  <c r="N330" i="11"/>
  <c r="N328" i="11" s="1"/>
  <c r="M351" i="11"/>
  <c r="P351" i="11" s="1"/>
  <c r="K360" i="11"/>
  <c r="K369" i="11"/>
  <c r="L26" i="12"/>
  <c r="M43" i="12"/>
  <c r="M55" i="12"/>
  <c r="O61" i="12"/>
  <c r="K99" i="12"/>
  <c r="M167" i="12"/>
  <c r="P186" i="12"/>
  <c r="M263" i="12"/>
  <c r="L330" i="12"/>
  <c r="O333" i="12"/>
  <c r="O350" i="11"/>
  <c r="K821" i="11"/>
  <c r="K824" i="11"/>
  <c r="K827" i="11"/>
  <c r="N55" i="12"/>
  <c r="P93" i="12"/>
  <c r="M134" i="12"/>
  <c r="P134" i="12" s="1"/>
  <c r="L217" i="12"/>
  <c r="O217" i="12" s="1"/>
  <c r="M300" i="12"/>
  <c r="O331" i="12"/>
  <c r="P468" i="12"/>
  <c r="P690" i="12"/>
  <c r="M687" i="12"/>
  <c r="M688" i="12"/>
  <c r="P410" i="12"/>
  <c r="M408" i="12"/>
  <c r="P408" i="12" s="1"/>
  <c r="N687" i="12"/>
  <c r="N685" i="12" s="1"/>
  <c r="N688" i="12"/>
  <c r="O806" i="12"/>
  <c r="L805" i="12"/>
  <c r="O805" i="12" s="1"/>
  <c r="M469" i="12"/>
  <c r="P469" i="12" s="1"/>
  <c r="M470" i="12"/>
  <c r="P470" i="12" s="1"/>
  <c r="P472" i="12"/>
  <c r="I592" i="12"/>
  <c r="K592" i="12" s="1"/>
  <c r="K593" i="12"/>
  <c r="O739" i="12"/>
  <c r="L737" i="12"/>
  <c r="O737" i="12" s="1"/>
  <c r="N772" i="12"/>
  <c r="N770" i="12" s="1"/>
  <c r="N773" i="12"/>
  <c r="I443" i="12"/>
  <c r="K443" i="12" s="1"/>
  <c r="K462" i="12"/>
  <c r="P504" i="12"/>
  <c r="M502" i="12"/>
  <c r="P502" i="12" s="1"/>
  <c r="P403" i="12"/>
  <c r="P407" i="12"/>
  <c r="M405" i="12"/>
  <c r="P405" i="12" s="1"/>
  <c r="I434" i="12"/>
  <c r="K438" i="12"/>
  <c r="N469" i="12"/>
  <c r="N467" i="12" s="1"/>
  <c r="O503" i="12"/>
  <c r="L502" i="12"/>
  <c r="O502" i="12" s="1"/>
  <c r="O630" i="12"/>
  <c r="N739" i="12"/>
  <c r="N737" i="12" s="1"/>
  <c r="N740" i="12"/>
  <c r="O756" i="12"/>
  <c r="L754" i="12"/>
  <c r="O754" i="12" s="1"/>
  <c r="J364" i="12"/>
  <c r="K379" i="12"/>
  <c r="M391" i="12"/>
  <c r="O420" i="12"/>
  <c r="L447" i="12"/>
  <c r="O447" i="12" s="1"/>
  <c r="O449" i="12"/>
  <c r="M449" i="12"/>
  <c r="L454" i="12"/>
  <c r="O454" i="12" s="1"/>
  <c r="O456" i="12"/>
  <c r="O472" i="12"/>
  <c r="O524" i="12"/>
  <c r="M547" i="12"/>
  <c r="P547" i="12" s="1"/>
  <c r="I654" i="12"/>
  <c r="K654" i="12" s="1"/>
  <c r="P656" i="12"/>
  <c r="L658" i="12"/>
  <c r="O658" i="12" s="1"/>
  <c r="K674" i="12"/>
  <c r="O690" i="12"/>
  <c r="M789" i="12"/>
  <c r="P789" i="12" s="1"/>
  <c r="L526" i="12"/>
  <c r="O526" i="12" s="1"/>
  <c r="J433" i="12"/>
  <c r="L470" i="12"/>
  <c r="O470" i="12" s="1"/>
  <c r="L477" i="12"/>
  <c r="O477" i="12" s="1"/>
  <c r="K576" i="12"/>
  <c r="M660" i="12"/>
  <c r="K675" i="12"/>
  <c r="M737" i="12"/>
  <c r="P737" i="12" s="1"/>
  <c r="M754" i="12"/>
  <c r="P754" i="12" s="1"/>
  <c r="M770" i="12"/>
  <c r="P770" i="12" s="1"/>
  <c r="L688" i="12"/>
  <c r="O688" i="12" s="1"/>
  <c r="I164" i="11"/>
  <c r="K164" i="11" s="1"/>
  <c r="K174" i="11"/>
  <c r="P331" i="11"/>
  <c r="L300" i="10"/>
  <c r="L298" i="10" s="1"/>
  <c r="O56" i="11"/>
  <c r="I112" i="11"/>
  <c r="K112" i="11" s="1"/>
  <c r="N90" i="6"/>
  <c r="N88" i="6" s="1"/>
  <c r="N121" i="6"/>
  <c r="N119" i="6" s="1"/>
  <c r="N167" i="6"/>
  <c r="N165" i="6" s="1"/>
  <c r="N300" i="6"/>
  <c r="N298" i="6" s="1"/>
  <c r="K651" i="10"/>
  <c r="N165" i="11"/>
  <c r="O186" i="11"/>
  <c r="L267" i="11"/>
  <c r="O267" i="11" s="1"/>
  <c r="P282" i="11"/>
  <c r="L304" i="11"/>
  <c r="O304" i="11" s="1"/>
  <c r="L331" i="11"/>
  <c r="O331" i="11" s="1"/>
  <c r="N392" i="11"/>
  <c r="J721" i="7"/>
  <c r="I208" i="8"/>
  <c r="K208" i="8" s="1"/>
  <c r="K460" i="9"/>
  <c r="K647" i="9"/>
  <c r="O135" i="10"/>
  <c r="M152" i="10"/>
  <c r="P152" i="10" s="1"/>
  <c r="L217" i="10"/>
  <c r="O217" i="10" s="1"/>
  <c r="O301" i="10"/>
  <c r="K576" i="10"/>
  <c r="L44" i="11"/>
  <c r="L91" i="11"/>
  <c r="O91" i="11" s="1"/>
  <c r="K98" i="11"/>
  <c r="M135" i="11"/>
  <c r="P135" i="11" s="1"/>
  <c r="P137" i="11"/>
  <c r="L152" i="11"/>
  <c r="O152" i="11" s="1"/>
  <c r="N168" i="11"/>
  <c r="O168" i="11" s="1"/>
  <c r="O170" i="11"/>
  <c r="L187" i="11"/>
  <c r="O187" i="11" s="1"/>
  <c r="L217" i="11"/>
  <c r="O217" i="11" s="1"/>
  <c r="M283" i="11"/>
  <c r="P283" i="11" s="1"/>
  <c r="P285" i="11"/>
  <c r="M300" i="11"/>
  <c r="J327" i="11"/>
  <c r="L395" i="11"/>
  <c r="O395" i="11" s="1"/>
  <c r="N405" i="11"/>
  <c r="J433" i="11"/>
  <c r="J417" i="11" s="1"/>
  <c r="K440" i="11"/>
  <c r="L90" i="7"/>
  <c r="L88" i="7" s="1"/>
  <c r="M392" i="8"/>
  <c r="P392" i="8" s="1"/>
  <c r="O394" i="8"/>
  <c r="L632" i="8"/>
  <c r="O632" i="8" s="1"/>
  <c r="L167" i="9"/>
  <c r="M122" i="10"/>
  <c r="P122" i="10" s="1"/>
  <c r="N300" i="10"/>
  <c r="N298" i="10" s="1"/>
  <c r="O336" i="10"/>
  <c r="L632" i="10"/>
  <c r="O632" i="10" s="1"/>
  <c r="L33" i="11"/>
  <c r="L36" i="11"/>
  <c r="L47" i="11"/>
  <c r="O47" i="11" s="1"/>
  <c r="O93" i="11"/>
  <c r="M138" i="11"/>
  <c r="P138" i="11" s="1"/>
  <c r="L167" i="11"/>
  <c r="L165" i="11" s="1"/>
  <c r="L171" i="11"/>
  <c r="O171" i="11" s="1"/>
  <c r="K176" i="11"/>
  <c r="K244" i="11"/>
  <c r="M321" i="11"/>
  <c r="P321" i="11" s="1"/>
  <c r="O333" i="11"/>
  <c r="L404" i="11"/>
  <c r="L408" i="11"/>
  <c r="O408" i="11" s="1"/>
  <c r="O479" i="11"/>
  <c r="J628" i="11"/>
  <c r="K628" i="11" s="1"/>
  <c r="L631" i="11"/>
  <c r="L629" i="11" s="1"/>
  <c r="O629" i="11" s="1"/>
  <c r="K674" i="11"/>
  <c r="M263" i="9"/>
  <c r="P263" i="9" s="1"/>
  <c r="I174" i="10"/>
  <c r="K174" i="10" s="1"/>
  <c r="O333" i="10"/>
  <c r="L404" i="10"/>
  <c r="O404" i="10" s="1"/>
  <c r="M23" i="11"/>
  <c r="M21" i="11" s="1"/>
  <c r="J143" i="11"/>
  <c r="J131" i="11" s="1"/>
  <c r="L151" i="11"/>
  <c r="O151" i="11" s="1"/>
  <c r="L238" i="11"/>
  <c r="O238" i="11" s="1"/>
  <c r="O282" i="11"/>
  <c r="P301" i="11"/>
  <c r="K327" i="11"/>
  <c r="M404" i="11"/>
  <c r="K592" i="11"/>
  <c r="L229" i="8"/>
  <c r="L56" i="10"/>
  <c r="L69" i="10"/>
  <c r="O69" i="10" s="1"/>
  <c r="I130" i="10"/>
  <c r="K130" i="10" s="1"/>
  <c r="P331" i="10"/>
  <c r="P353" i="10"/>
  <c r="K378" i="10"/>
  <c r="O58" i="11"/>
  <c r="K111" i="11"/>
  <c r="M151" i="11"/>
  <c r="M183" i="11"/>
  <c r="P183" i="11" s="1"/>
  <c r="L229" i="11"/>
  <c r="N279" i="11"/>
  <c r="N277" i="11" s="1"/>
  <c r="I297" i="11"/>
  <c r="K297" i="11" s="1"/>
  <c r="J364" i="11"/>
  <c r="J722" i="11"/>
  <c r="L788" i="11"/>
  <c r="O788" i="11" s="1"/>
  <c r="O15" i="11"/>
  <c r="K237" i="10"/>
  <c r="I226" i="10"/>
  <c r="K226" i="10" s="1"/>
  <c r="M330" i="10"/>
  <c r="M328" i="10" s="1"/>
  <c r="K193" i="3"/>
  <c r="L68" i="7"/>
  <c r="O68" i="7" s="1"/>
  <c r="I314" i="7"/>
  <c r="K314" i="7" s="1"/>
  <c r="M68" i="8"/>
  <c r="M66" i="8" s="1"/>
  <c r="L688" i="8"/>
  <c r="O688" i="8" s="1"/>
  <c r="J721" i="8"/>
  <c r="K721" i="8" s="1"/>
  <c r="L43" i="9"/>
  <c r="L41" i="9" s="1"/>
  <c r="I112" i="9"/>
  <c r="K112" i="9" s="1"/>
  <c r="M152" i="9"/>
  <c r="P152" i="9" s="1"/>
  <c r="P154" i="9"/>
  <c r="L263" i="9"/>
  <c r="L261" i="9" s="1"/>
  <c r="M279" i="9"/>
  <c r="M277" i="9" s="1"/>
  <c r="P277" i="9" s="1"/>
  <c r="K360" i="9"/>
  <c r="L72" i="10"/>
  <c r="O72" i="10" s="1"/>
  <c r="M94" i="10"/>
  <c r="P94" i="10" s="1"/>
  <c r="P135" i="10"/>
  <c r="P138" i="10"/>
  <c r="L155" i="10"/>
  <c r="O155" i="10" s="1"/>
  <c r="P186" i="10"/>
  <c r="I233" i="10"/>
  <c r="K233" i="10" s="1"/>
  <c r="M267" i="10"/>
  <c r="P267" i="10" s="1"/>
  <c r="N330" i="10"/>
  <c r="N328" i="10" s="1"/>
  <c r="P336" i="10"/>
  <c r="L657" i="10"/>
  <c r="O657" i="10" s="1"/>
  <c r="O660" i="10"/>
  <c r="K828" i="10"/>
  <c r="O25" i="11"/>
  <c r="N43" i="11"/>
  <c r="N47" i="11"/>
  <c r="N26" i="11"/>
  <c r="N24" i="11" s="1"/>
  <c r="P61" i="11"/>
  <c r="M59" i="11"/>
  <c r="P59" i="11" s="1"/>
  <c r="L69" i="11"/>
  <c r="O71" i="11"/>
  <c r="L135" i="11"/>
  <c r="O135" i="11" s="1"/>
  <c r="O137" i="11"/>
  <c r="O166" i="11"/>
  <c r="K204" i="11"/>
  <c r="I197" i="11"/>
  <c r="K197" i="11" s="1"/>
  <c r="P280" i="11"/>
  <c r="N263" i="10"/>
  <c r="N261" i="10" s="1"/>
  <c r="K86" i="11"/>
  <c r="O686" i="11"/>
  <c r="K647" i="8"/>
  <c r="N90" i="9"/>
  <c r="N88" i="9" s="1"/>
  <c r="K374" i="9"/>
  <c r="L469" i="9"/>
  <c r="L467" i="9" s="1"/>
  <c r="L134" i="10"/>
  <c r="L132" i="10" s="1"/>
  <c r="L184" i="10"/>
  <c r="O184" i="10" s="1"/>
  <c r="L280" i="10"/>
  <c r="O280" i="10" s="1"/>
  <c r="L331" i="10"/>
  <c r="O331" i="10" s="1"/>
  <c r="K385" i="10"/>
  <c r="M404" i="10"/>
  <c r="P404" i="10" s="1"/>
  <c r="P407" i="10"/>
  <c r="M405" i="10"/>
  <c r="P405" i="10" s="1"/>
  <c r="L12" i="11"/>
  <c r="O46" i="11"/>
  <c r="N53" i="11"/>
  <c r="L72" i="11"/>
  <c r="O72" i="11" s="1"/>
  <c r="O74" i="11"/>
  <c r="L138" i="11"/>
  <c r="O138" i="11" s="1"/>
  <c r="O140" i="11"/>
  <c r="M168" i="11"/>
  <c r="P170" i="11"/>
  <c r="O182" i="11"/>
  <c r="I216" i="11"/>
  <c r="K216" i="11" s="1"/>
  <c r="L321" i="11"/>
  <c r="O321" i="11" s="1"/>
  <c r="O323" i="11"/>
  <c r="L317" i="11"/>
  <c r="M91" i="11"/>
  <c r="P91" i="11" s="1"/>
  <c r="P93" i="11"/>
  <c r="P738" i="11"/>
  <c r="M737" i="11"/>
  <c r="P737" i="11" s="1"/>
  <c r="P137" i="9"/>
  <c r="I364" i="9"/>
  <c r="M43" i="10"/>
  <c r="M41" i="10" s="1"/>
  <c r="M55" i="10"/>
  <c r="M53" i="10" s="1"/>
  <c r="P53" i="10" s="1"/>
  <c r="L68" i="10"/>
  <c r="L66" i="10" s="1"/>
  <c r="L90" i="10"/>
  <c r="L88" i="10" s="1"/>
  <c r="N121" i="10"/>
  <c r="N119" i="10" s="1"/>
  <c r="L138" i="10"/>
  <c r="O138" i="10" s="1"/>
  <c r="L151" i="10"/>
  <c r="L209" i="10"/>
  <c r="O209" i="10" s="1"/>
  <c r="M300" i="10"/>
  <c r="P301" i="10"/>
  <c r="N317" i="10"/>
  <c r="N315" i="10" s="1"/>
  <c r="L334" i="10"/>
  <c r="O334" i="10" s="1"/>
  <c r="K369" i="10"/>
  <c r="K372" i="10"/>
  <c r="P58" i="11"/>
  <c r="M56" i="11"/>
  <c r="P56" i="11" s="1"/>
  <c r="P67" i="11"/>
  <c r="M66" i="11"/>
  <c r="N69" i="11"/>
  <c r="P71" i="11"/>
  <c r="M90" i="11"/>
  <c r="M94" i="11"/>
  <c r="P94" i="11" s="1"/>
  <c r="P96" i="11"/>
  <c r="I130" i="11"/>
  <c r="K130" i="11" s="1"/>
  <c r="K146" i="11"/>
  <c r="M184" i="11"/>
  <c r="P186" i="11"/>
  <c r="L209" i="11"/>
  <c r="O209" i="11" s="1"/>
  <c r="L228" i="11"/>
  <c r="L249" i="11"/>
  <c r="O249" i="11" s="1"/>
  <c r="M392" i="11"/>
  <c r="P392" i="11" s="1"/>
  <c r="P394" i="11"/>
  <c r="M391" i="11"/>
  <c r="P807" i="11"/>
  <c r="M805" i="11"/>
  <c r="P805" i="11" s="1"/>
  <c r="I143" i="10"/>
  <c r="I131" i="10" s="1"/>
  <c r="O266" i="10"/>
  <c r="N15" i="11"/>
  <c r="P22" i="11"/>
  <c r="M19" i="11"/>
  <c r="M12" i="11"/>
  <c r="M34" i="11"/>
  <c r="P34" i="11" s="1"/>
  <c r="P35" i="11"/>
  <c r="O89" i="11"/>
  <c r="M171" i="11"/>
  <c r="P171" i="11" s="1"/>
  <c r="P173" i="11"/>
  <c r="P333" i="11"/>
  <c r="M330" i="11"/>
  <c r="N33" i="11"/>
  <c r="M631" i="11"/>
  <c r="P631" i="11" s="1"/>
  <c r="M632" i="11"/>
  <c r="P632" i="11" s="1"/>
  <c r="P634" i="11"/>
  <c r="P771" i="11"/>
  <c r="M770" i="11"/>
  <c r="P770" i="11" s="1"/>
  <c r="P788" i="11"/>
  <c r="M786" i="11"/>
  <c r="P786" i="11" s="1"/>
  <c r="M330" i="8"/>
  <c r="M328" i="8" s="1"/>
  <c r="L454" i="8"/>
  <c r="O454" i="8" s="1"/>
  <c r="P127" i="9"/>
  <c r="K338" i="9"/>
  <c r="N68" i="10"/>
  <c r="N66" i="10" s="1"/>
  <c r="L171" i="10"/>
  <c r="O171" i="10" s="1"/>
  <c r="P264" i="10"/>
  <c r="O303" i="10"/>
  <c r="L330" i="10"/>
  <c r="L328" i="10" s="1"/>
  <c r="M408" i="10"/>
  <c r="P408" i="10" s="1"/>
  <c r="K800" i="10"/>
  <c r="I785" i="10"/>
  <c r="K785" i="10" s="1"/>
  <c r="K824" i="10"/>
  <c r="O19" i="11"/>
  <c r="L29" i="11"/>
  <c r="P46" i="11"/>
  <c r="M55" i="11"/>
  <c r="M187" i="11"/>
  <c r="P187" i="11" s="1"/>
  <c r="P189" i="11"/>
  <c r="O449" i="11"/>
  <c r="N446" i="11"/>
  <c r="N447" i="11"/>
  <c r="I434" i="10"/>
  <c r="L36" i="10"/>
  <c r="O36" i="10" s="1"/>
  <c r="O120" i="11"/>
  <c r="P124" i="11"/>
  <c r="P127" i="11"/>
  <c r="O150" i="11"/>
  <c r="P154" i="11"/>
  <c r="P157" i="11"/>
  <c r="O262" i="11"/>
  <c r="P266" i="11"/>
  <c r="P269" i="11"/>
  <c r="P278" i="11"/>
  <c r="L280" i="11"/>
  <c r="O280" i="11" s="1"/>
  <c r="L283" i="11"/>
  <c r="O283" i="11" s="1"/>
  <c r="O299" i="11"/>
  <c r="P303" i="11"/>
  <c r="P306" i="11"/>
  <c r="M318" i="11"/>
  <c r="P318" i="11" s="1"/>
  <c r="L328" i="11"/>
  <c r="O351" i="11"/>
  <c r="N419" i="11"/>
  <c r="O545" i="11"/>
  <c r="I559" i="11"/>
  <c r="K576" i="11"/>
  <c r="K593" i="11"/>
  <c r="O787" i="11"/>
  <c r="I785" i="11"/>
  <c r="K785" i="11" s="1"/>
  <c r="K800" i="11"/>
  <c r="O806" i="11"/>
  <c r="L805" i="11"/>
  <c r="O805" i="11" s="1"/>
  <c r="O348" i="11"/>
  <c r="M395" i="11"/>
  <c r="P395" i="11" s="1"/>
  <c r="P397" i="11"/>
  <c r="I442" i="11"/>
  <c r="K442" i="11" s="1"/>
  <c r="K460" i="11"/>
  <c r="L470" i="11"/>
  <c r="O470" i="11" s="1"/>
  <c r="O472" i="11"/>
  <c r="M472" i="11"/>
  <c r="L533" i="11"/>
  <c r="O533" i="11" s="1"/>
  <c r="O535" i="11"/>
  <c r="L525" i="11"/>
  <c r="I314" i="11"/>
  <c r="K314" i="11" s="1"/>
  <c r="M317" i="11"/>
  <c r="P317" i="11" s="1"/>
  <c r="L347" i="11"/>
  <c r="L429" i="11"/>
  <c r="O429" i="11" s="1"/>
  <c r="L421" i="11"/>
  <c r="O421" i="11" s="1"/>
  <c r="O431" i="11"/>
  <c r="K466" i="11"/>
  <c r="P546" i="11"/>
  <c r="M547" i="11"/>
  <c r="P549" i="11"/>
  <c r="L555" i="11"/>
  <c r="O555" i="11" s="1"/>
  <c r="L546" i="11"/>
  <c r="O546" i="11" s="1"/>
  <c r="O557" i="11"/>
  <c r="P755" i="11"/>
  <c r="M754" i="11"/>
  <c r="P754" i="11" s="1"/>
  <c r="O424" i="11"/>
  <c r="N421" i="11"/>
  <c r="N444" i="11"/>
  <c r="L467" i="11"/>
  <c r="N469" i="11"/>
  <c r="N467" i="11" s="1"/>
  <c r="N470" i="11"/>
  <c r="O549" i="11"/>
  <c r="N546" i="11"/>
  <c r="N544" i="11" s="1"/>
  <c r="P630" i="11"/>
  <c r="P687" i="11"/>
  <c r="M685" i="11"/>
  <c r="P685" i="11" s="1"/>
  <c r="I143" i="11"/>
  <c r="I233" i="11"/>
  <c r="K233" i="11" s="1"/>
  <c r="I248" i="11"/>
  <c r="K365" i="11"/>
  <c r="O390" i="11"/>
  <c r="O420" i="11"/>
  <c r="N422" i="11"/>
  <c r="J537" i="11"/>
  <c r="J522" i="11" s="1"/>
  <c r="K538" i="11"/>
  <c r="N547" i="11"/>
  <c r="P555" i="11"/>
  <c r="M545" i="11"/>
  <c r="M405" i="11"/>
  <c r="P405" i="11" s="1"/>
  <c r="M408" i="11"/>
  <c r="P408" i="11" s="1"/>
  <c r="I417" i="11"/>
  <c r="K417" i="11" s="1"/>
  <c r="L446" i="11"/>
  <c r="L454" i="11"/>
  <c r="O454" i="11" s="1"/>
  <c r="O503" i="11"/>
  <c r="O634" i="11"/>
  <c r="I654" i="11"/>
  <c r="K654" i="11" s="1"/>
  <c r="P656" i="11"/>
  <c r="K675" i="11"/>
  <c r="L632" i="11"/>
  <c r="O632" i="11" s="1"/>
  <c r="K672" i="11"/>
  <c r="K669" i="11"/>
  <c r="L687" i="11"/>
  <c r="O687" i="11" s="1"/>
  <c r="O55" i="10"/>
  <c r="P472" i="10"/>
  <c r="M470" i="10"/>
  <c r="P470" i="10" s="1"/>
  <c r="M469" i="10"/>
  <c r="P469" i="10" s="1"/>
  <c r="K462" i="7"/>
  <c r="L90" i="8"/>
  <c r="L88" i="8" s="1"/>
  <c r="N167" i="8"/>
  <c r="N165" i="8" s="1"/>
  <c r="I174" i="8"/>
  <c r="K174" i="8" s="1"/>
  <c r="L47" i="9"/>
  <c r="O47" i="9" s="1"/>
  <c r="M55" i="9"/>
  <c r="M53" i="9" s="1"/>
  <c r="O135" i="9"/>
  <c r="K255" i="9"/>
  <c r="K560" i="9"/>
  <c r="J721" i="9"/>
  <c r="M47" i="10"/>
  <c r="P47" i="10" s="1"/>
  <c r="M69" i="10"/>
  <c r="P69" i="10" s="1"/>
  <c r="P74" i="10"/>
  <c r="I87" i="10"/>
  <c r="K87" i="10" s="1"/>
  <c r="L91" i="10"/>
  <c r="O91" i="10" s="1"/>
  <c r="N122" i="10"/>
  <c r="M134" i="10"/>
  <c r="M132" i="10" s="1"/>
  <c r="J143" i="10"/>
  <c r="J131" i="10" s="1"/>
  <c r="M155" i="10"/>
  <c r="P155" i="10" s="1"/>
  <c r="M171" i="10"/>
  <c r="P171" i="10" s="1"/>
  <c r="N183" i="10"/>
  <c r="N181" i="10" s="1"/>
  <c r="N267" i="10"/>
  <c r="L283" i="10"/>
  <c r="O283" i="10" s="1"/>
  <c r="K309" i="10"/>
  <c r="M317" i="10"/>
  <c r="P317" i="10" s="1"/>
  <c r="N321" i="10"/>
  <c r="P333" i="10"/>
  <c r="L347" i="10"/>
  <c r="L345" i="10" s="1"/>
  <c r="I364" i="10"/>
  <c r="N391" i="10"/>
  <c r="N389" i="10" s="1"/>
  <c r="K435" i="10"/>
  <c r="K440" i="10"/>
  <c r="L639" i="10"/>
  <c r="O639" i="10" s="1"/>
  <c r="O641" i="10"/>
  <c r="K821" i="10"/>
  <c r="M634" i="8"/>
  <c r="P634" i="8" s="1"/>
  <c r="M91" i="10"/>
  <c r="P91" i="10" s="1"/>
  <c r="M151" i="10"/>
  <c r="P151" i="10" s="1"/>
  <c r="L477" i="6"/>
  <c r="O477" i="6" s="1"/>
  <c r="J785" i="7"/>
  <c r="L47" i="8"/>
  <c r="O47" i="8" s="1"/>
  <c r="I260" i="8"/>
  <c r="K260" i="8" s="1"/>
  <c r="L121" i="9"/>
  <c r="L238" i="9"/>
  <c r="O238" i="9" s="1"/>
  <c r="L229" i="9"/>
  <c r="K369" i="9"/>
  <c r="K372" i="9"/>
  <c r="N391" i="9"/>
  <c r="N389" i="9" s="1"/>
  <c r="P49" i="10"/>
  <c r="P71" i="10"/>
  <c r="P93" i="10"/>
  <c r="O170" i="10"/>
  <c r="M184" i="10"/>
  <c r="P184" i="10" s="1"/>
  <c r="L249" i="10"/>
  <c r="O249" i="10" s="1"/>
  <c r="I276" i="10"/>
  <c r="K276" i="10" s="1"/>
  <c r="M318" i="10"/>
  <c r="P318" i="10" s="1"/>
  <c r="M334" i="10"/>
  <c r="P334" i="10" s="1"/>
  <c r="K359" i="10"/>
  <c r="K362" i="10"/>
  <c r="K370" i="10"/>
  <c r="L405" i="10"/>
  <c r="O405" i="10" s="1"/>
  <c r="L470" i="10"/>
  <c r="O470" i="10" s="1"/>
  <c r="L533" i="10"/>
  <c r="O533" i="10" s="1"/>
  <c r="L546" i="10"/>
  <c r="L544" i="10" s="1"/>
  <c r="O544" i="10" s="1"/>
  <c r="K649" i="10"/>
  <c r="L658" i="10"/>
  <c r="O658" i="10" s="1"/>
  <c r="K822" i="10"/>
  <c r="I248" i="8"/>
  <c r="K248" i="8" s="1"/>
  <c r="O56" i="9"/>
  <c r="O58" i="10"/>
  <c r="J327" i="10"/>
  <c r="K327" i="10" s="1"/>
  <c r="I443" i="10"/>
  <c r="K443" i="10" s="1"/>
  <c r="J537" i="10"/>
  <c r="J522" i="10" s="1"/>
  <c r="J628" i="10"/>
  <c r="K628" i="10" s="1"/>
  <c r="I233" i="8"/>
  <c r="K233" i="8" s="1"/>
  <c r="P56" i="9"/>
  <c r="I77" i="9"/>
  <c r="K77" i="9" s="1"/>
  <c r="M90" i="9"/>
  <c r="N404" i="9"/>
  <c r="N402" i="9" s="1"/>
  <c r="K821" i="9"/>
  <c r="K824" i="9"/>
  <c r="K827" i="9"/>
  <c r="N90" i="10"/>
  <c r="L122" i="10"/>
  <c r="O122" i="10" s="1"/>
  <c r="P140" i="10"/>
  <c r="I190" i="10"/>
  <c r="K190" i="10" s="1"/>
  <c r="L198" i="10"/>
  <c r="O198" i="10" s="1"/>
  <c r="M304" i="10"/>
  <c r="P304" i="10" s="1"/>
  <c r="L321" i="10"/>
  <c r="O321" i="10" s="1"/>
  <c r="N351" i="10"/>
  <c r="O351" i="10" s="1"/>
  <c r="K355" i="10"/>
  <c r="L454" i="10"/>
  <c r="O454" i="10" s="1"/>
  <c r="L547" i="10"/>
  <c r="K620" i="10"/>
  <c r="K823" i="10"/>
  <c r="N43" i="9"/>
  <c r="O46" i="9"/>
  <c r="N44" i="9"/>
  <c r="O44" i="9" s="1"/>
  <c r="I275" i="9"/>
  <c r="K275" i="9" s="1"/>
  <c r="L331" i="9"/>
  <c r="O333" i="9"/>
  <c r="L9" i="10"/>
  <c r="O12" i="10"/>
  <c r="O32" i="10"/>
  <c r="L29" i="10"/>
  <c r="L94" i="9"/>
  <c r="O94" i="9" s="1"/>
  <c r="O96" i="9"/>
  <c r="P353" i="9"/>
  <c r="N351" i="9"/>
  <c r="P351" i="9" s="1"/>
  <c r="O320" i="9"/>
  <c r="L318" i="9"/>
  <c r="O318" i="9" s="1"/>
  <c r="N15" i="10"/>
  <c r="N19" i="10"/>
  <c r="I197" i="9"/>
  <c r="K197" i="9" s="1"/>
  <c r="K204" i="9"/>
  <c r="N9" i="10"/>
  <c r="P67" i="10"/>
  <c r="M121" i="7"/>
  <c r="P121" i="7" s="1"/>
  <c r="I522" i="8"/>
  <c r="K522" i="8" s="1"/>
  <c r="K537" i="8"/>
  <c r="N134" i="9"/>
  <c r="N132" i="9" s="1"/>
  <c r="O140" i="9"/>
  <c r="P189" i="9"/>
  <c r="M187" i="9"/>
  <c r="P187" i="9" s="1"/>
  <c r="O282" i="9"/>
  <c r="L280" i="9"/>
  <c r="O280" i="9" s="1"/>
  <c r="N347" i="9"/>
  <c r="N345" i="9" s="1"/>
  <c r="L395" i="9"/>
  <c r="O395" i="9" s="1"/>
  <c r="O397" i="9"/>
  <c r="O557" i="9"/>
  <c r="L555" i="9"/>
  <c r="O555" i="9" s="1"/>
  <c r="O19" i="10"/>
  <c r="K78" i="10"/>
  <c r="I76" i="10"/>
  <c r="N138" i="9"/>
  <c r="P138" i="9" s="1"/>
  <c r="P186" i="9"/>
  <c r="M183" i="9"/>
  <c r="M181" i="9" s="1"/>
  <c r="L392" i="9"/>
  <c r="O392" i="9" s="1"/>
  <c r="O394" i="9"/>
  <c r="L477" i="9"/>
  <c r="O477" i="9" s="1"/>
  <c r="L546" i="9"/>
  <c r="O546" i="9" s="1"/>
  <c r="L789" i="9"/>
  <c r="O789" i="9" s="1"/>
  <c r="L788" i="9"/>
  <c r="O788" i="9" s="1"/>
  <c r="L26" i="10"/>
  <c r="O61" i="10"/>
  <c r="L230" i="8"/>
  <c r="P32" i="10"/>
  <c r="M29" i="10"/>
  <c r="I86" i="10"/>
  <c r="K86" i="10" s="1"/>
  <c r="K98" i="10"/>
  <c r="K215" i="10"/>
  <c r="O262" i="10"/>
  <c r="I275" i="10"/>
  <c r="J288" i="10"/>
  <c r="J275" i="10" s="1"/>
  <c r="O316" i="10"/>
  <c r="O320" i="10"/>
  <c r="L318" i="10"/>
  <c r="O318" i="10" s="1"/>
  <c r="J433" i="10"/>
  <c r="O468" i="10"/>
  <c r="L526" i="10"/>
  <c r="O526" i="10" s="1"/>
  <c r="L525" i="10"/>
  <c r="K592" i="10"/>
  <c r="O282" i="10"/>
  <c r="N279" i="10"/>
  <c r="O279" i="10" s="1"/>
  <c r="N68" i="4"/>
  <c r="N66" i="4" s="1"/>
  <c r="L317" i="6"/>
  <c r="L315" i="6" s="1"/>
  <c r="N43" i="7"/>
  <c r="N41" i="7" s="1"/>
  <c r="N121" i="7"/>
  <c r="N119" i="7" s="1"/>
  <c r="I130" i="7"/>
  <c r="K130" i="7" s="1"/>
  <c r="N152" i="7"/>
  <c r="O152" i="7" s="1"/>
  <c r="I112" i="8"/>
  <c r="K112" i="8" s="1"/>
  <c r="L231" i="8"/>
  <c r="K379" i="8"/>
  <c r="L55" i="9"/>
  <c r="L53" i="9" s="1"/>
  <c r="K115" i="9"/>
  <c r="M121" i="9"/>
  <c r="M119" i="9" s="1"/>
  <c r="N183" i="9"/>
  <c r="N181" i="9" s="1"/>
  <c r="K193" i="9"/>
  <c r="L209" i="9"/>
  <c r="O209" i="9" s="1"/>
  <c r="M280" i="9"/>
  <c r="P280" i="9" s="1"/>
  <c r="K355" i="9"/>
  <c r="M26" i="10"/>
  <c r="P120" i="10"/>
  <c r="O137" i="10"/>
  <c r="L267" i="10"/>
  <c r="O267" i="10" s="1"/>
  <c r="O269" i="10"/>
  <c r="M283" i="10"/>
  <c r="P283" i="10" s="1"/>
  <c r="P285" i="10"/>
  <c r="O394" i="10"/>
  <c r="L391" i="10"/>
  <c r="P468" i="10"/>
  <c r="K539" i="10"/>
  <c r="I543" i="10"/>
  <c r="K543" i="10" s="1"/>
  <c r="M546" i="10"/>
  <c r="M547" i="10"/>
  <c r="P549" i="10"/>
  <c r="O791" i="10"/>
  <c r="L788" i="10"/>
  <c r="O788" i="10" s="1"/>
  <c r="L805" i="10"/>
  <c r="O805" i="10" s="1"/>
  <c r="O806" i="10"/>
  <c r="N347" i="10"/>
  <c r="N345" i="10" s="1"/>
  <c r="N348" i="10"/>
  <c r="P348" i="10" s="1"/>
  <c r="N405" i="10"/>
  <c r="N404" i="10"/>
  <c r="N402" i="10" s="1"/>
  <c r="L502" i="10"/>
  <c r="O502" i="10" s="1"/>
  <c r="O503" i="10"/>
  <c r="M23" i="9"/>
  <c r="M21" i="9" s="1"/>
  <c r="M94" i="9"/>
  <c r="P94" i="9" s="1"/>
  <c r="P266" i="9"/>
  <c r="M318" i="9"/>
  <c r="P318" i="9" s="1"/>
  <c r="K325" i="9"/>
  <c r="N331" i="9"/>
  <c r="P331" i="9" s="1"/>
  <c r="N392" i="9"/>
  <c r="M634" i="9"/>
  <c r="M631" i="9" s="1"/>
  <c r="P631" i="9" s="1"/>
  <c r="N26" i="10"/>
  <c r="N16" i="10" s="1"/>
  <c r="N44" i="10"/>
  <c r="P44" i="10" s="1"/>
  <c r="N23" i="10"/>
  <c r="I77" i="10"/>
  <c r="L94" i="10"/>
  <c r="O94" i="10" s="1"/>
  <c r="L121" i="10"/>
  <c r="N134" i="10"/>
  <c r="P137" i="10"/>
  <c r="L168" i="10"/>
  <c r="O168" i="10" s="1"/>
  <c r="P170" i="10"/>
  <c r="M167" i="10"/>
  <c r="L183" i="10"/>
  <c r="L187" i="10"/>
  <c r="O187" i="10" s="1"/>
  <c r="M279" i="10"/>
  <c r="P394" i="10"/>
  <c r="M391" i="10"/>
  <c r="P391" i="10" s="1"/>
  <c r="M392" i="10"/>
  <c r="P392" i="10" s="1"/>
  <c r="O528" i="10"/>
  <c r="I522" i="10"/>
  <c r="K522" i="10" s="1"/>
  <c r="K537" i="10"/>
  <c r="P634" i="10"/>
  <c r="M632" i="10"/>
  <c r="P632" i="10" s="1"/>
  <c r="M631" i="10"/>
  <c r="P631" i="10" s="1"/>
  <c r="L688" i="10"/>
  <c r="O688" i="10" s="1"/>
  <c r="O690" i="10"/>
  <c r="N788" i="10"/>
  <c r="N786" i="10" s="1"/>
  <c r="N789" i="10"/>
  <c r="M55" i="6"/>
  <c r="M301" i="7"/>
  <c r="P301" i="7" s="1"/>
  <c r="O46" i="8"/>
  <c r="M94" i="8"/>
  <c r="P94" i="8" s="1"/>
  <c r="O170" i="8"/>
  <c r="I190" i="8"/>
  <c r="K190" i="8" s="1"/>
  <c r="O269" i="8"/>
  <c r="M283" i="8"/>
  <c r="P283" i="8" s="1"/>
  <c r="I434" i="8"/>
  <c r="I418" i="8" s="1"/>
  <c r="K418" i="8" s="1"/>
  <c r="K822" i="8"/>
  <c r="K825" i="8"/>
  <c r="L33" i="9"/>
  <c r="L31" i="9" s="1"/>
  <c r="O31" i="9" s="1"/>
  <c r="L59" i="9"/>
  <c r="O59" i="9" s="1"/>
  <c r="L68" i="9"/>
  <c r="L66" i="9" s="1"/>
  <c r="O71" i="9"/>
  <c r="M122" i="9"/>
  <c r="P122" i="9" s="1"/>
  <c r="M135" i="9"/>
  <c r="P135" i="9" s="1"/>
  <c r="J143" i="9"/>
  <c r="J131" i="9" s="1"/>
  <c r="L151" i="9"/>
  <c r="L149" i="9" s="1"/>
  <c r="O149" i="9" s="1"/>
  <c r="M167" i="9"/>
  <c r="M165" i="9" s="1"/>
  <c r="K190" i="9"/>
  <c r="M267" i="9"/>
  <c r="P267" i="9" s="1"/>
  <c r="P282" i="9"/>
  <c r="P333" i="9"/>
  <c r="O348" i="9"/>
  <c r="M424" i="9"/>
  <c r="M421" i="9" s="1"/>
  <c r="P421" i="9" s="1"/>
  <c r="M472" i="9"/>
  <c r="M470" i="9" s="1"/>
  <c r="K823" i="9"/>
  <c r="O15" i="10"/>
  <c r="L23" i="10"/>
  <c r="L21" i="10" s="1"/>
  <c r="N43" i="10"/>
  <c r="O46" i="10"/>
  <c r="P56" i="10"/>
  <c r="P58" i="10"/>
  <c r="I112" i="10"/>
  <c r="K112" i="10" s="1"/>
  <c r="M121" i="10"/>
  <c r="P121" i="10" s="1"/>
  <c r="K144" i="10"/>
  <c r="M168" i="10"/>
  <c r="P168" i="10" s="1"/>
  <c r="M183" i="10"/>
  <c r="M187" i="10"/>
  <c r="P187" i="10" s="1"/>
  <c r="L238" i="10"/>
  <c r="M263" i="10"/>
  <c r="L304" i="10"/>
  <c r="O304" i="10" s="1"/>
  <c r="O306" i="10"/>
  <c r="O350" i="10"/>
  <c r="J374" i="10"/>
  <c r="J364" i="10" s="1"/>
  <c r="K381" i="10"/>
  <c r="L392" i="10"/>
  <c r="O392" i="10" s="1"/>
  <c r="O424" i="10"/>
  <c r="L421" i="10"/>
  <c r="O421" i="10" s="1"/>
  <c r="L33" i="10"/>
  <c r="L31" i="10" s="1"/>
  <c r="O31" i="10" s="1"/>
  <c r="M424" i="10"/>
  <c r="L422" i="10"/>
  <c r="O422" i="10" s="1"/>
  <c r="L789" i="10"/>
  <c r="O789" i="10" s="1"/>
  <c r="K224" i="10"/>
  <c r="I216" i="10"/>
  <c r="K216" i="10" s="1"/>
  <c r="M449" i="10"/>
  <c r="O449" i="10"/>
  <c r="L446" i="10"/>
  <c r="O446" i="10" s="1"/>
  <c r="O170" i="7"/>
  <c r="L228" i="7"/>
  <c r="K362" i="7"/>
  <c r="L68" i="8"/>
  <c r="L66" i="8" s="1"/>
  <c r="I148" i="8"/>
  <c r="K148" i="8" s="1"/>
  <c r="L238" i="8"/>
  <c r="O238" i="8" s="1"/>
  <c r="M59" i="9"/>
  <c r="P59" i="9" s="1"/>
  <c r="O186" i="9"/>
  <c r="L217" i="9"/>
  <c r="O217" i="9" s="1"/>
  <c r="L301" i="9"/>
  <c r="O301" i="9" s="1"/>
  <c r="P348" i="9"/>
  <c r="O634" i="9"/>
  <c r="K651" i="9"/>
  <c r="M12" i="10"/>
  <c r="M23" i="10"/>
  <c r="P25" i="10"/>
  <c r="M15" i="10"/>
  <c r="N31" i="10"/>
  <c r="P46" i="10"/>
  <c r="L53" i="10"/>
  <c r="P54" i="10"/>
  <c r="L167" i="10"/>
  <c r="O182" i="10"/>
  <c r="K204" i="10"/>
  <c r="I197" i="10"/>
  <c r="K197" i="10" s="1"/>
  <c r="L264" i="10"/>
  <c r="O264" i="10" s="1"/>
  <c r="L263" i="10"/>
  <c r="M280" i="10"/>
  <c r="P280" i="10" s="1"/>
  <c r="P282" i="10"/>
  <c r="L317" i="10"/>
  <c r="O317" i="10" s="1"/>
  <c r="P350" i="10"/>
  <c r="M347" i="10"/>
  <c r="K466" i="10"/>
  <c r="N504" i="10"/>
  <c r="N502" i="10" s="1"/>
  <c r="N414" i="10" s="1"/>
  <c r="N505" i="10"/>
  <c r="N523" i="10"/>
  <c r="L687" i="10"/>
  <c r="O687" i="10" s="1"/>
  <c r="P266" i="10"/>
  <c r="O472" i="10"/>
  <c r="L469" i="10"/>
  <c r="O469" i="10" s="1"/>
  <c r="N547" i="10"/>
  <c r="O549" i="10"/>
  <c r="P303" i="10"/>
  <c r="K434" i="10"/>
  <c r="I418" i="10"/>
  <c r="K418" i="10" s="1"/>
  <c r="O634" i="10"/>
  <c r="L631" i="10"/>
  <c r="O631" i="10" s="1"/>
  <c r="N655" i="10"/>
  <c r="O686" i="10"/>
  <c r="K593" i="10"/>
  <c r="K675" i="10"/>
  <c r="I654" i="10"/>
  <c r="K654" i="10" s="1"/>
  <c r="K672" i="10"/>
  <c r="M685" i="10"/>
  <c r="P685" i="10" s="1"/>
  <c r="M805" i="10"/>
  <c r="P805" i="10" s="1"/>
  <c r="O353" i="10"/>
  <c r="K360" i="10"/>
  <c r="L429" i="10"/>
  <c r="O429" i="10" s="1"/>
  <c r="K460" i="10"/>
  <c r="K673" i="10"/>
  <c r="K669" i="10"/>
  <c r="K674" i="10"/>
  <c r="M737" i="10"/>
  <c r="P737" i="10" s="1"/>
  <c r="M754" i="10"/>
  <c r="P754" i="10" s="1"/>
  <c r="M770" i="10"/>
  <c r="P770" i="10" s="1"/>
  <c r="M56" i="6"/>
  <c r="L43" i="7"/>
  <c r="L41" i="7" s="1"/>
  <c r="N122" i="7"/>
  <c r="I297" i="7"/>
  <c r="K297" i="7" s="1"/>
  <c r="L404" i="7"/>
  <c r="O404" i="7" s="1"/>
  <c r="J722" i="7"/>
  <c r="K577" i="8"/>
  <c r="L36" i="9"/>
  <c r="O36" i="9" s="1"/>
  <c r="N69" i="9"/>
  <c r="O69" i="9" s="1"/>
  <c r="L72" i="9"/>
  <c r="O72" i="9" s="1"/>
  <c r="N68" i="9"/>
  <c r="N66" i="9" s="1"/>
  <c r="M125" i="9"/>
  <c r="I143" i="9"/>
  <c r="M155" i="9"/>
  <c r="P155" i="9" s="1"/>
  <c r="M168" i="9"/>
  <c r="P168" i="9" s="1"/>
  <c r="P170" i="9"/>
  <c r="I208" i="9"/>
  <c r="K208" i="9" s="1"/>
  <c r="K224" i="9"/>
  <c r="I260" i="9"/>
  <c r="K260" i="9" s="1"/>
  <c r="J288" i="9"/>
  <c r="J275" i="9" s="1"/>
  <c r="L321" i="9"/>
  <c r="O321" i="9" s="1"/>
  <c r="L330" i="9"/>
  <c r="K340" i="9"/>
  <c r="L405" i="9"/>
  <c r="O405" i="9" s="1"/>
  <c r="O431" i="9"/>
  <c r="K559" i="9"/>
  <c r="O641" i="9"/>
  <c r="L135" i="7"/>
  <c r="O135" i="7" s="1"/>
  <c r="P397" i="7"/>
  <c r="N55" i="8"/>
  <c r="N53" i="8" s="1"/>
  <c r="O93" i="8"/>
  <c r="O124" i="8"/>
  <c r="O154" i="8"/>
  <c r="N168" i="8"/>
  <c r="O301" i="8"/>
  <c r="N317" i="8"/>
  <c r="N315" i="8" s="1"/>
  <c r="O331" i="8"/>
  <c r="L330" i="8"/>
  <c r="L328" i="8" s="1"/>
  <c r="K340" i="8"/>
  <c r="O472" i="8"/>
  <c r="N72" i="9"/>
  <c r="K79" i="9"/>
  <c r="M171" i="9"/>
  <c r="P171" i="9" s="1"/>
  <c r="L230" i="9"/>
  <c r="L231" i="9"/>
  <c r="M283" i="9"/>
  <c r="P283" i="9" s="1"/>
  <c r="P303" i="9"/>
  <c r="N300" i="9"/>
  <c r="N298" i="9" s="1"/>
  <c r="L317" i="9"/>
  <c r="L315" i="9" s="1"/>
  <c r="O315" i="9" s="1"/>
  <c r="M321" i="9"/>
  <c r="P321" i="9" s="1"/>
  <c r="M330" i="9"/>
  <c r="M328" i="9" s="1"/>
  <c r="P328" i="9" s="1"/>
  <c r="O336" i="9"/>
  <c r="K385" i="9"/>
  <c r="L408" i="9"/>
  <c r="O408" i="9" s="1"/>
  <c r="L421" i="9"/>
  <c r="O421" i="9" s="1"/>
  <c r="M549" i="9"/>
  <c r="M547" i="9" s="1"/>
  <c r="P547" i="9" s="1"/>
  <c r="K568" i="9"/>
  <c r="M55" i="8"/>
  <c r="M53" i="8" s="1"/>
  <c r="O186" i="8"/>
  <c r="O264" i="8"/>
  <c r="I314" i="8"/>
  <c r="K314" i="8" s="1"/>
  <c r="L318" i="8"/>
  <c r="O318" i="8" s="1"/>
  <c r="P331" i="8"/>
  <c r="L134" i="9"/>
  <c r="O137" i="9"/>
  <c r="M184" i="9"/>
  <c r="P184" i="9" s="1"/>
  <c r="I233" i="9"/>
  <c r="K233" i="9" s="1"/>
  <c r="L304" i="9"/>
  <c r="O304" i="9" s="1"/>
  <c r="M317" i="9"/>
  <c r="P317" i="9" s="1"/>
  <c r="O350" i="9"/>
  <c r="K370" i="9"/>
  <c r="K378" i="9"/>
  <c r="K381" i="9"/>
  <c r="L391" i="9"/>
  <c r="O391" i="9" s="1"/>
  <c r="I433" i="9"/>
  <c r="I417" i="9" s="1"/>
  <c r="L547" i="9"/>
  <c r="O547" i="9" s="1"/>
  <c r="L631" i="9"/>
  <c r="O631" i="9" s="1"/>
  <c r="K649" i="9"/>
  <c r="K674" i="9"/>
  <c r="K821" i="3"/>
  <c r="K824" i="3"/>
  <c r="K827" i="3"/>
  <c r="K823" i="5"/>
  <c r="K826" i="5"/>
  <c r="I87" i="8"/>
  <c r="K87" i="8" s="1"/>
  <c r="N90" i="8"/>
  <c r="K244" i="8"/>
  <c r="K362" i="8"/>
  <c r="I442" i="8"/>
  <c r="K442" i="8" s="1"/>
  <c r="L447" i="8"/>
  <c r="K725" i="8"/>
  <c r="M134" i="9"/>
  <c r="P140" i="9"/>
  <c r="N151" i="9"/>
  <c r="N149" i="9" s="1"/>
  <c r="O170" i="9"/>
  <c r="N317" i="9"/>
  <c r="N315" i="9" s="1"/>
  <c r="J327" i="9"/>
  <c r="K327" i="9" s="1"/>
  <c r="O353" i="9"/>
  <c r="K359" i="9"/>
  <c r="K362" i="9"/>
  <c r="M391" i="9"/>
  <c r="M389" i="9" s="1"/>
  <c r="P389" i="9" s="1"/>
  <c r="L404" i="9"/>
  <c r="O404" i="9" s="1"/>
  <c r="K822" i="9"/>
  <c r="K828" i="9"/>
  <c r="K823" i="8"/>
  <c r="K826" i="8"/>
  <c r="N26" i="9"/>
  <c r="N16" i="9" s="1"/>
  <c r="N14" i="9" s="1"/>
  <c r="I76" i="9"/>
  <c r="K76" i="9" s="1"/>
  <c r="N121" i="9"/>
  <c r="L165" i="9"/>
  <c r="N167" i="9"/>
  <c r="N165" i="9" s="1"/>
  <c r="L183" i="9"/>
  <c r="L181" i="9" s="1"/>
  <c r="L198" i="9"/>
  <c r="O198" i="9" s="1"/>
  <c r="L300" i="9"/>
  <c r="L347" i="9"/>
  <c r="K379" i="9"/>
  <c r="M404" i="9"/>
  <c r="P404" i="9" s="1"/>
  <c r="I522" i="9"/>
  <c r="K522" i="9" s="1"/>
  <c r="L657" i="9"/>
  <c r="O657" i="9" s="1"/>
  <c r="K675" i="9"/>
  <c r="O29" i="9"/>
  <c r="O152" i="8"/>
  <c r="O351" i="8"/>
  <c r="L555" i="8"/>
  <c r="O555" i="8" s="1"/>
  <c r="O557" i="8"/>
  <c r="P71" i="9"/>
  <c r="M69" i="9"/>
  <c r="L122" i="9"/>
  <c r="O122" i="9" s="1"/>
  <c r="O124" i="9"/>
  <c r="N134" i="3"/>
  <c r="N132" i="3" s="1"/>
  <c r="L300" i="6"/>
  <c r="K621" i="6"/>
  <c r="L55" i="7"/>
  <c r="L53" i="7" s="1"/>
  <c r="M183" i="7"/>
  <c r="M181" i="7" s="1"/>
  <c r="I197" i="7"/>
  <c r="K197" i="7" s="1"/>
  <c r="L301" i="7"/>
  <c r="O301" i="7" s="1"/>
  <c r="M472" i="7"/>
  <c r="P472" i="7" s="1"/>
  <c r="K647" i="7"/>
  <c r="P49" i="8"/>
  <c r="L55" i="8"/>
  <c r="L53" i="8" s="1"/>
  <c r="K116" i="8"/>
  <c r="L135" i="8"/>
  <c r="O135" i="8" s="1"/>
  <c r="P170" i="8"/>
  <c r="L183" i="8"/>
  <c r="L181" i="8" s="1"/>
  <c r="N183" i="8"/>
  <c r="N181" i="8" s="1"/>
  <c r="L198" i="8"/>
  <c r="O198" i="8" s="1"/>
  <c r="J288" i="8"/>
  <c r="J275" i="8" s="1"/>
  <c r="I297" i="8"/>
  <c r="K297" i="8" s="1"/>
  <c r="O303" i="8"/>
  <c r="M318" i="8"/>
  <c r="P318" i="8" s="1"/>
  <c r="M395" i="8"/>
  <c r="P395" i="8" s="1"/>
  <c r="I443" i="8"/>
  <c r="K443" i="8" s="1"/>
  <c r="L477" i="8"/>
  <c r="O477" i="8" s="1"/>
  <c r="O479" i="8"/>
  <c r="K701" i="8"/>
  <c r="K828" i="8"/>
  <c r="L12" i="9"/>
  <c r="P25" i="9"/>
  <c r="M15" i="9"/>
  <c r="M9" i="9" s="1"/>
  <c r="N31" i="9"/>
  <c r="P49" i="9"/>
  <c r="M47" i="9"/>
  <c r="P47" i="9" s="1"/>
  <c r="P58" i="9"/>
  <c r="K86" i="9"/>
  <c r="L125" i="9"/>
  <c r="O127" i="9"/>
  <c r="L152" i="9"/>
  <c r="O152" i="9" s="1"/>
  <c r="O154" i="9"/>
  <c r="N304" i="9"/>
  <c r="N470" i="9"/>
  <c r="O470" i="9" s="1"/>
  <c r="N469" i="9"/>
  <c r="P771" i="9"/>
  <c r="M770" i="9"/>
  <c r="P770" i="9" s="1"/>
  <c r="N300" i="7"/>
  <c r="N298" i="7" s="1"/>
  <c r="J364" i="7"/>
  <c r="K98" i="8"/>
  <c r="M135" i="8"/>
  <c r="P135" i="8" s="1"/>
  <c r="L168" i="8"/>
  <c r="L187" i="8"/>
  <c r="O187" i="8" s="1"/>
  <c r="I275" i="8"/>
  <c r="K369" i="8"/>
  <c r="K729" i="8"/>
  <c r="N9" i="9"/>
  <c r="P12" i="9"/>
  <c r="L15" i="9"/>
  <c r="L19" i="9"/>
  <c r="P67" i="9"/>
  <c r="P74" i="9"/>
  <c r="M72" i="9"/>
  <c r="P72" i="9" s="1"/>
  <c r="K100" i="9"/>
  <c r="L155" i="9"/>
  <c r="O155" i="9" s="1"/>
  <c r="O157" i="9"/>
  <c r="L228" i="9"/>
  <c r="L264" i="9"/>
  <c r="O266" i="9"/>
  <c r="L267" i="9"/>
  <c r="O267" i="9" s="1"/>
  <c r="O269" i="9"/>
  <c r="O285" i="9"/>
  <c r="L279" i="9"/>
  <c r="O686" i="9"/>
  <c r="M151" i="3"/>
  <c r="P151" i="3" s="1"/>
  <c r="M155" i="3"/>
  <c r="P155" i="3" s="1"/>
  <c r="I442" i="7"/>
  <c r="K442" i="7" s="1"/>
  <c r="L59" i="8"/>
  <c r="O59" i="8" s="1"/>
  <c r="I76" i="8"/>
  <c r="K76" i="8" s="1"/>
  <c r="L279" i="8"/>
  <c r="L277" i="8" s="1"/>
  <c r="L658" i="8"/>
  <c r="O658" i="8" s="1"/>
  <c r="L657" i="8"/>
  <c r="O657" i="8" s="1"/>
  <c r="P46" i="9"/>
  <c r="M44" i="9"/>
  <c r="N55" i="9"/>
  <c r="L283" i="9"/>
  <c r="O283" i="9" s="1"/>
  <c r="P468" i="9"/>
  <c r="I233" i="6"/>
  <c r="K233" i="6" s="1"/>
  <c r="N317" i="6"/>
  <c r="N315" i="6" s="1"/>
  <c r="K628" i="6"/>
  <c r="I112" i="7"/>
  <c r="K112" i="7" s="1"/>
  <c r="L134" i="7"/>
  <c r="L132" i="7" s="1"/>
  <c r="O132" i="7" s="1"/>
  <c r="J327" i="7"/>
  <c r="K327" i="7" s="1"/>
  <c r="K379" i="7"/>
  <c r="O479" i="7"/>
  <c r="K823" i="7"/>
  <c r="K826" i="7"/>
  <c r="N68" i="8"/>
  <c r="N66" i="8" s="1"/>
  <c r="L72" i="8"/>
  <c r="O72" i="8" s="1"/>
  <c r="L91" i="8"/>
  <c r="O91" i="8" s="1"/>
  <c r="M121" i="8"/>
  <c r="P121" i="8" s="1"/>
  <c r="K145" i="8"/>
  <c r="L217" i="8"/>
  <c r="O217" i="8" s="1"/>
  <c r="L263" i="8"/>
  <c r="L261" i="8" s="1"/>
  <c r="P333" i="8"/>
  <c r="K370" i="8"/>
  <c r="K378" i="8"/>
  <c r="L391" i="8"/>
  <c r="O391" i="8" s="1"/>
  <c r="N404" i="8"/>
  <c r="N402" i="8" s="1"/>
  <c r="K649" i="8"/>
  <c r="K673" i="8"/>
  <c r="P690" i="8"/>
  <c r="K824" i="8"/>
  <c r="N19" i="9"/>
  <c r="O22" i="9"/>
  <c r="L26" i="9"/>
  <c r="P32" i="9"/>
  <c r="M29" i="9"/>
  <c r="N23" i="9"/>
  <c r="L23" i="9"/>
  <c r="L21" i="9" s="1"/>
  <c r="O58" i="9"/>
  <c r="M68" i="9"/>
  <c r="K82" i="9"/>
  <c r="P93" i="9"/>
  <c r="N91" i="9"/>
  <c r="P91" i="9" s="1"/>
  <c r="K98" i="9"/>
  <c r="K130" i="9"/>
  <c r="N227" i="9"/>
  <c r="P299" i="9"/>
  <c r="O420" i="9"/>
  <c r="O333" i="7"/>
  <c r="L33" i="8"/>
  <c r="L31" i="8" s="1"/>
  <c r="L43" i="8"/>
  <c r="L41" i="8" s="1"/>
  <c r="L94" i="8"/>
  <c r="O94" i="8" s="1"/>
  <c r="N151" i="8"/>
  <c r="N149" i="8" s="1"/>
  <c r="O266" i="8"/>
  <c r="L300" i="8"/>
  <c r="L298" i="8" s="1"/>
  <c r="O333" i="8"/>
  <c r="N347" i="8"/>
  <c r="K359" i="8"/>
  <c r="L421" i="8"/>
  <c r="L419" i="8" s="1"/>
  <c r="O419" i="8" s="1"/>
  <c r="O424" i="8"/>
  <c r="K593" i="8"/>
  <c r="M26" i="9"/>
  <c r="M24" i="9" s="1"/>
  <c r="M34" i="9"/>
  <c r="P34" i="9" s="1"/>
  <c r="O35" i="9"/>
  <c r="M43" i="9"/>
  <c r="L90" i="9"/>
  <c r="O93" i="9"/>
  <c r="L249" i="9"/>
  <c r="O249" i="9" s="1"/>
  <c r="K465" i="8"/>
  <c r="N125" i="9"/>
  <c r="O133" i="9"/>
  <c r="P166" i="9"/>
  <c r="L168" i="9"/>
  <c r="O168" i="9" s="1"/>
  <c r="L171" i="9"/>
  <c r="O171" i="9" s="1"/>
  <c r="I174" i="9"/>
  <c r="P182" i="9"/>
  <c r="L184" i="9"/>
  <c r="O184" i="9" s="1"/>
  <c r="L187" i="9"/>
  <c r="O187" i="9" s="1"/>
  <c r="N264" i="9"/>
  <c r="P264" i="9" s="1"/>
  <c r="P306" i="9"/>
  <c r="P336" i="9"/>
  <c r="M347" i="9"/>
  <c r="P350" i="9"/>
  <c r="O503" i="9"/>
  <c r="L502" i="9"/>
  <c r="O502" i="9" s="1"/>
  <c r="J537" i="9"/>
  <c r="J522" i="9" s="1"/>
  <c r="O632" i="9"/>
  <c r="P788" i="9"/>
  <c r="M786" i="9"/>
  <c r="P786" i="9" s="1"/>
  <c r="I785" i="9"/>
  <c r="K785" i="9" s="1"/>
  <c r="K800" i="9"/>
  <c r="O806" i="9"/>
  <c r="L805" i="9"/>
  <c r="O805" i="9" s="1"/>
  <c r="M392" i="9"/>
  <c r="P392" i="9" s="1"/>
  <c r="P394" i="9"/>
  <c r="I443" i="9"/>
  <c r="K443" i="9" s="1"/>
  <c r="K462" i="9"/>
  <c r="I592" i="9"/>
  <c r="K592" i="9" s="1"/>
  <c r="K593" i="9"/>
  <c r="P755" i="9"/>
  <c r="M754" i="9"/>
  <c r="P754" i="9" s="1"/>
  <c r="O787" i="9"/>
  <c r="O390" i="9"/>
  <c r="M395" i="9"/>
  <c r="P395" i="9" s="1"/>
  <c r="P397" i="9"/>
  <c r="I434" i="9"/>
  <c r="K438" i="9"/>
  <c r="L447" i="9"/>
  <c r="O447" i="9" s="1"/>
  <c r="O449" i="9"/>
  <c r="M449" i="9"/>
  <c r="L454" i="9"/>
  <c r="O454" i="9" s="1"/>
  <c r="O456" i="9"/>
  <c r="N502" i="9"/>
  <c r="O630" i="9"/>
  <c r="K99" i="9"/>
  <c r="K146" i="9"/>
  <c r="N279" i="9"/>
  <c r="N277" i="9" s="1"/>
  <c r="O446" i="9"/>
  <c r="L444" i="9"/>
  <c r="O444" i="9" s="1"/>
  <c r="O472" i="9"/>
  <c r="P687" i="9"/>
  <c r="M685" i="9"/>
  <c r="P685" i="9" s="1"/>
  <c r="P738" i="9"/>
  <c r="M737" i="9"/>
  <c r="P737" i="9" s="1"/>
  <c r="I237" i="9"/>
  <c r="I297" i="9"/>
  <c r="K297" i="9" s="1"/>
  <c r="M300" i="9"/>
  <c r="P300" i="9" s="1"/>
  <c r="J364" i="9"/>
  <c r="K365" i="9"/>
  <c r="P504" i="9"/>
  <c r="M502" i="9"/>
  <c r="P502" i="9" s="1"/>
  <c r="P807" i="9"/>
  <c r="M805" i="9"/>
  <c r="P805" i="9" s="1"/>
  <c r="M405" i="9"/>
  <c r="P405" i="9" s="1"/>
  <c r="M408" i="9"/>
  <c r="P408" i="9" s="1"/>
  <c r="L533" i="9"/>
  <c r="O533" i="9" s="1"/>
  <c r="I654" i="9"/>
  <c r="K654" i="9" s="1"/>
  <c r="L658" i="9"/>
  <c r="O658" i="9" s="1"/>
  <c r="O791" i="9"/>
  <c r="J433" i="9"/>
  <c r="J417" i="9" s="1"/>
  <c r="L525" i="9"/>
  <c r="K576" i="9"/>
  <c r="I628" i="9"/>
  <c r="K628" i="9" s="1"/>
  <c r="K672" i="9"/>
  <c r="L688" i="9"/>
  <c r="O688" i="9" s="1"/>
  <c r="K669" i="9"/>
  <c r="L687" i="9"/>
  <c r="O687" i="9" s="1"/>
  <c r="M68" i="2"/>
  <c r="P68" i="2" s="1"/>
  <c r="M90" i="3"/>
  <c r="L263" i="6"/>
  <c r="L261" i="6" s="1"/>
  <c r="I297" i="6"/>
  <c r="K297" i="6" s="1"/>
  <c r="M392" i="6"/>
  <c r="P392" i="6" s="1"/>
  <c r="M134" i="7"/>
  <c r="P134" i="7" s="1"/>
  <c r="I148" i="7"/>
  <c r="K148" i="7" s="1"/>
  <c r="M318" i="7"/>
  <c r="P318" i="7" s="1"/>
  <c r="M330" i="7"/>
  <c r="M328" i="7" s="1"/>
  <c r="M43" i="8"/>
  <c r="M41" i="8" s="1"/>
  <c r="L69" i="8"/>
  <c r="O69" i="8" s="1"/>
  <c r="K80" i="8"/>
  <c r="N94" i="8"/>
  <c r="L125" i="8"/>
  <c r="O125" i="8" s="1"/>
  <c r="M26" i="8"/>
  <c r="M16" i="8" s="1"/>
  <c r="M14" i="8" s="1"/>
  <c r="L134" i="8"/>
  <c r="L132" i="8" s="1"/>
  <c r="O132" i="8" s="1"/>
  <c r="L138" i="8"/>
  <c r="O138" i="8" s="1"/>
  <c r="L155" i="8"/>
  <c r="O155" i="8" s="1"/>
  <c r="M168" i="8"/>
  <c r="N263" i="8"/>
  <c r="M279" i="8"/>
  <c r="M277" i="8" s="1"/>
  <c r="K287" i="8"/>
  <c r="L304" i="8"/>
  <c r="O304" i="8" s="1"/>
  <c r="N318" i="8"/>
  <c r="M321" i="8"/>
  <c r="P321" i="8" s="1"/>
  <c r="N330" i="8"/>
  <c r="O353" i="8"/>
  <c r="K372" i="8"/>
  <c r="M391" i="8"/>
  <c r="O397" i="8"/>
  <c r="O641" i="8"/>
  <c r="K674" i="8"/>
  <c r="K827" i="8"/>
  <c r="L229" i="6"/>
  <c r="K370" i="6"/>
  <c r="M167" i="7"/>
  <c r="M165" i="7" s="1"/>
  <c r="I216" i="7"/>
  <c r="K216" i="7" s="1"/>
  <c r="M321" i="7"/>
  <c r="P321" i="7" s="1"/>
  <c r="M334" i="7"/>
  <c r="P334" i="7" s="1"/>
  <c r="L44" i="8"/>
  <c r="M69" i="8"/>
  <c r="P69" i="8" s="1"/>
  <c r="P71" i="8"/>
  <c r="I77" i="8"/>
  <c r="M134" i="8"/>
  <c r="P134" i="8" s="1"/>
  <c r="M138" i="8"/>
  <c r="P138" i="8" s="1"/>
  <c r="L184" i="8"/>
  <c r="O184" i="8" s="1"/>
  <c r="N300" i="8"/>
  <c r="L317" i="8"/>
  <c r="O317" i="8" s="1"/>
  <c r="L334" i="8"/>
  <c r="O334" i="8" s="1"/>
  <c r="K355" i="8"/>
  <c r="J364" i="8"/>
  <c r="K385" i="8"/>
  <c r="K669" i="8"/>
  <c r="O186" i="6"/>
  <c r="L33" i="7"/>
  <c r="L31" i="7" s="1"/>
  <c r="L36" i="7"/>
  <c r="O36" i="7" s="1"/>
  <c r="L138" i="7"/>
  <c r="O138" i="7" s="1"/>
  <c r="O140" i="7"/>
  <c r="M171" i="7"/>
  <c r="P171" i="7" s="1"/>
  <c r="I434" i="7"/>
  <c r="I418" i="7" s="1"/>
  <c r="K418" i="7" s="1"/>
  <c r="L36" i="8"/>
  <c r="L121" i="8"/>
  <c r="O121" i="8" s="1"/>
  <c r="N134" i="8"/>
  <c r="N132" i="8" s="1"/>
  <c r="J143" i="8"/>
  <c r="J131" i="8" s="1"/>
  <c r="L151" i="8"/>
  <c r="L149" i="8" s="1"/>
  <c r="L228" i="8"/>
  <c r="O306" i="8"/>
  <c r="M317" i="8"/>
  <c r="P317" i="8" s="1"/>
  <c r="O336" i="8"/>
  <c r="J327" i="8"/>
  <c r="K327" i="8" s="1"/>
  <c r="L446" i="8"/>
  <c r="L444" i="8" s="1"/>
  <c r="O444" i="8" s="1"/>
  <c r="L231" i="7"/>
  <c r="O285" i="7"/>
  <c r="L23" i="8"/>
  <c r="L21" i="8" s="1"/>
  <c r="M72" i="8"/>
  <c r="P72" i="8" s="1"/>
  <c r="M167" i="8"/>
  <c r="M187" i="8"/>
  <c r="P187" i="8" s="1"/>
  <c r="L209" i="8"/>
  <c r="O209" i="8" s="1"/>
  <c r="I216" i="8"/>
  <c r="K216" i="8" s="1"/>
  <c r="O285" i="8"/>
  <c r="P336" i="8"/>
  <c r="K381" i="8"/>
  <c r="L469" i="8"/>
  <c r="I654" i="8"/>
  <c r="K654" i="8" s="1"/>
  <c r="L687" i="8"/>
  <c r="L685" i="8" s="1"/>
  <c r="O685" i="8" s="1"/>
  <c r="O690" i="8"/>
  <c r="K821" i="8"/>
  <c r="K362" i="6"/>
  <c r="K385" i="6"/>
  <c r="M55" i="7"/>
  <c r="M53" i="7" s="1"/>
  <c r="O59" i="7"/>
  <c r="L72" i="7"/>
  <c r="O72" i="7" s="1"/>
  <c r="K276" i="8"/>
  <c r="K338" i="8"/>
  <c r="P348" i="8"/>
  <c r="K374" i="8"/>
  <c r="L631" i="8"/>
  <c r="L629" i="8" s="1"/>
  <c r="K722" i="8"/>
  <c r="I276" i="7"/>
  <c r="K276" i="7" s="1"/>
  <c r="K287" i="7"/>
  <c r="O320" i="7"/>
  <c r="L318" i="7"/>
  <c r="O318" i="7" s="1"/>
  <c r="P394" i="7"/>
  <c r="M392" i="7"/>
  <c r="P392" i="7" s="1"/>
  <c r="N395" i="7"/>
  <c r="N391" i="7"/>
  <c r="N389" i="7" s="1"/>
  <c r="K673" i="7"/>
  <c r="K672" i="7"/>
  <c r="I654" i="7"/>
  <c r="K654" i="7" s="1"/>
  <c r="K675" i="7"/>
  <c r="K669" i="7"/>
  <c r="N26" i="8"/>
  <c r="N47" i="8"/>
  <c r="M301" i="8"/>
  <c r="P301" i="8" s="1"/>
  <c r="P303" i="8"/>
  <c r="M300" i="8"/>
  <c r="M298" i="8" s="1"/>
  <c r="L392" i="6"/>
  <c r="O392" i="6" s="1"/>
  <c r="L391" i="6"/>
  <c r="O391" i="6" s="1"/>
  <c r="N69" i="7"/>
  <c r="N68" i="7"/>
  <c r="N66" i="7" s="1"/>
  <c r="P306" i="7"/>
  <c r="M304" i="7"/>
  <c r="P304" i="7" s="1"/>
  <c r="M300" i="7"/>
  <c r="P300" i="7" s="1"/>
  <c r="L347" i="7"/>
  <c r="L345" i="7" s="1"/>
  <c r="L351" i="7"/>
  <c r="P407" i="7"/>
  <c r="M405" i="7"/>
  <c r="P405" i="7" s="1"/>
  <c r="L9" i="8"/>
  <c r="N122" i="8"/>
  <c r="N121" i="8"/>
  <c r="N119" i="8" s="1"/>
  <c r="K143" i="8"/>
  <c r="I131" i="8"/>
  <c r="K131" i="8" s="1"/>
  <c r="M152" i="8"/>
  <c r="P152" i="8" s="1"/>
  <c r="P154" i="8"/>
  <c r="M151" i="8"/>
  <c r="L408" i="8"/>
  <c r="O408" i="8" s="1"/>
  <c r="O410" i="8"/>
  <c r="L404" i="8"/>
  <c r="O404" i="8" s="1"/>
  <c r="P503" i="8"/>
  <c r="M502" i="8"/>
  <c r="P502" i="8" s="1"/>
  <c r="L788" i="2"/>
  <c r="O788" i="2" s="1"/>
  <c r="K309" i="3"/>
  <c r="I297" i="3"/>
  <c r="K297" i="3" s="1"/>
  <c r="L238" i="7"/>
  <c r="O238" i="7" s="1"/>
  <c r="O336" i="7"/>
  <c r="L334" i="7"/>
  <c r="O334" i="7" s="1"/>
  <c r="M348" i="7"/>
  <c r="M347" i="7"/>
  <c r="M345" i="7" s="1"/>
  <c r="O12" i="8"/>
  <c r="O15" i="8"/>
  <c r="O19" i="8"/>
  <c r="N43" i="8"/>
  <c r="O120" i="8"/>
  <c r="P186" i="8"/>
  <c r="M184" i="8"/>
  <c r="P184" i="8" s="1"/>
  <c r="M183" i="8"/>
  <c r="O299" i="8"/>
  <c r="K287" i="6"/>
  <c r="I276" i="6"/>
  <c r="K276" i="6" s="1"/>
  <c r="L301" i="6"/>
  <c r="M348" i="6"/>
  <c r="P348" i="6" s="1"/>
  <c r="M347" i="6"/>
  <c r="M345" i="6" s="1"/>
  <c r="I785" i="6"/>
  <c r="I76" i="7"/>
  <c r="I64" i="7" s="1"/>
  <c r="K64" i="7" s="1"/>
  <c r="I143" i="7"/>
  <c r="K145" i="7"/>
  <c r="K176" i="7"/>
  <c r="I174" i="7"/>
  <c r="K174" i="7" s="1"/>
  <c r="L198" i="7"/>
  <c r="O198" i="7" s="1"/>
  <c r="L249" i="7"/>
  <c r="O249" i="7" s="1"/>
  <c r="O323" i="7"/>
  <c r="O22" i="8"/>
  <c r="M125" i="8"/>
  <c r="P125" i="8" s="1"/>
  <c r="P127" i="8"/>
  <c r="O755" i="8"/>
  <c r="L754" i="8"/>
  <c r="O754" i="8" s="1"/>
  <c r="K287" i="4"/>
  <c r="I276" i="4"/>
  <c r="K276" i="4" s="1"/>
  <c r="P71" i="6"/>
  <c r="M69" i="6"/>
  <c r="P69" i="6" s="1"/>
  <c r="K647" i="6"/>
  <c r="K672" i="6"/>
  <c r="K669" i="6"/>
  <c r="M791" i="6"/>
  <c r="M789" i="6" s="1"/>
  <c r="P789" i="6" s="1"/>
  <c r="O791" i="6"/>
  <c r="L789" i="6"/>
  <c r="O789" i="6" s="1"/>
  <c r="K674" i="7"/>
  <c r="L29" i="8"/>
  <c r="P46" i="8"/>
  <c r="N44" i="8"/>
  <c r="N23" i="8"/>
  <c r="O173" i="8"/>
  <c r="L171" i="8"/>
  <c r="O171" i="8" s="1"/>
  <c r="N446" i="8"/>
  <c r="N444" i="8" s="1"/>
  <c r="N33" i="8"/>
  <c r="M187" i="3"/>
  <c r="P187" i="3" s="1"/>
  <c r="M47" i="7"/>
  <c r="P47" i="7" s="1"/>
  <c r="P49" i="7"/>
  <c r="L279" i="7"/>
  <c r="L277" i="7" s="1"/>
  <c r="M283" i="7"/>
  <c r="P283" i="7" s="1"/>
  <c r="M23" i="8"/>
  <c r="M21" i="8" s="1"/>
  <c r="O25" i="8"/>
  <c r="O35" i="8"/>
  <c r="P42" i="8"/>
  <c r="N56" i="8"/>
  <c r="O56" i="8" s="1"/>
  <c r="O58" i="8"/>
  <c r="P93" i="8"/>
  <c r="M91" i="8"/>
  <c r="P91" i="8" s="1"/>
  <c r="M90" i="8"/>
  <c r="M267" i="8"/>
  <c r="P267" i="8" s="1"/>
  <c r="P269" i="8"/>
  <c r="M263" i="8"/>
  <c r="O403" i="8"/>
  <c r="N447" i="8"/>
  <c r="J722" i="3"/>
  <c r="K722" i="3" s="1"/>
  <c r="L55" i="4"/>
  <c r="L53" i="4" s="1"/>
  <c r="L134" i="6"/>
  <c r="L132" i="6" s="1"/>
  <c r="L183" i="6"/>
  <c r="L181" i="6" s="1"/>
  <c r="L187" i="6"/>
  <c r="O187" i="6" s="1"/>
  <c r="N263" i="6"/>
  <c r="N261" i="6" s="1"/>
  <c r="M330" i="6"/>
  <c r="M328" i="6" s="1"/>
  <c r="O93" i="7"/>
  <c r="O184" i="7"/>
  <c r="M187" i="7"/>
  <c r="P187" i="7" s="1"/>
  <c r="L229" i="7"/>
  <c r="K338" i="7"/>
  <c r="O350" i="7"/>
  <c r="N404" i="7"/>
  <c r="N402" i="7" s="1"/>
  <c r="L429" i="7"/>
  <c r="O429" i="7" s="1"/>
  <c r="O634" i="7"/>
  <c r="I130" i="8"/>
  <c r="K130" i="8" s="1"/>
  <c r="K146" i="8"/>
  <c r="M155" i="8"/>
  <c r="P155" i="8" s="1"/>
  <c r="P157" i="8"/>
  <c r="N280" i="8"/>
  <c r="P280" i="8" s="1"/>
  <c r="P282" i="8"/>
  <c r="P353" i="8"/>
  <c r="M351" i="8"/>
  <c r="P351" i="8" s="1"/>
  <c r="P407" i="8"/>
  <c r="M404" i="8"/>
  <c r="P410" i="8"/>
  <c r="M408" i="8"/>
  <c r="P408" i="8" s="1"/>
  <c r="P445" i="8"/>
  <c r="M444" i="8"/>
  <c r="P444" i="8" s="1"/>
  <c r="O787" i="8"/>
  <c r="L786" i="8"/>
  <c r="O786" i="8" s="1"/>
  <c r="L228" i="5"/>
  <c r="M283" i="5"/>
  <c r="P283" i="5" s="1"/>
  <c r="M43" i="7"/>
  <c r="M41" i="7" s="1"/>
  <c r="P74" i="7"/>
  <c r="M90" i="7"/>
  <c r="M88" i="7" s="1"/>
  <c r="K99" i="7"/>
  <c r="P137" i="7"/>
  <c r="K360" i="7"/>
  <c r="K369" i="7"/>
  <c r="K372" i="7"/>
  <c r="L469" i="7"/>
  <c r="L467" i="7" s="1"/>
  <c r="O467" i="7" s="1"/>
  <c r="K620" i="7"/>
  <c r="K649" i="7"/>
  <c r="L26" i="8"/>
  <c r="M34" i="8"/>
  <c r="P34" i="8" s="1"/>
  <c r="P58" i="8"/>
  <c r="P61" i="8"/>
  <c r="O71" i="8"/>
  <c r="K81" i="8"/>
  <c r="O89" i="8"/>
  <c r="L167" i="8"/>
  <c r="M171" i="8"/>
  <c r="P171" i="8" s="1"/>
  <c r="O182" i="8"/>
  <c r="O282" i="8"/>
  <c r="L321" i="8"/>
  <c r="O321" i="8" s="1"/>
  <c r="K365" i="8"/>
  <c r="I364" i="8"/>
  <c r="M405" i="8"/>
  <c r="P405" i="8" s="1"/>
  <c r="K435" i="8"/>
  <c r="J433" i="8"/>
  <c r="J417" i="8" s="1"/>
  <c r="I433" i="8"/>
  <c r="N263" i="4"/>
  <c r="N404" i="4"/>
  <c r="N402" i="4" s="1"/>
  <c r="N330" i="5"/>
  <c r="N328" i="5" s="1"/>
  <c r="L167" i="6"/>
  <c r="L687" i="6"/>
  <c r="L685" i="6" s="1"/>
  <c r="O685" i="6" s="1"/>
  <c r="O58" i="7"/>
  <c r="M91" i="7"/>
  <c r="P91" i="7" s="1"/>
  <c r="P93" i="7"/>
  <c r="K370" i="7"/>
  <c r="K378" i="7"/>
  <c r="K381" i="7"/>
  <c r="O397" i="7"/>
  <c r="L688" i="7"/>
  <c r="O688" i="7" s="1"/>
  <c r="M12" i="8"/>
  <c r="M19" i="8"/>
  <c r="P67" i="8"/>
  <c r="O166" i="8"/>
  <c r="M264" i="8"/>
  <c r="P264" i="8" s="1"/>
  <c r="P266" i="8"/>
  <c r="N279" i="8"/>
  <c r="P299" i="8"/>
  <c r="L348" i="8"/>
  <c r="O348" i="8" s="1"/>
  <c r="O350" i="8"/>
  <c r="I559" i="8"/>
  <c r="K576" i="8"/>
  <c r="P755" i="8"/>
  <c r="M754" i="8"/>
  <c r="P754" i="8" s="1"/>
  <c r="O59" i="5"/>
  <c r="P61" i="5"/>
  <c r="K378" i="6"/>
  <c r="P186" i="7"/>
  <c r="K801" i="7"/>
  <c r="K822" i="7"/>
  <c r="K825" i="7"/>
  <c r="K828" i="7"/>
  <c r="M122" i="8"/>
  <c r="P122" i="8" s="1"/>
  <c r="P124" i="8"/>
  <c r="P262" i="8"/>
  <c r="M304" i="8"/>
  <c r="P304" i="8" s="1"/>
  <c r="P306" i="8"/>
  <c r="P350" i="8"/>
  <c r="M347" i="8"/>
  <c r="N392" i="8"/>
  <c r="N391" i="8"/>
  <c r="N389" i="8" s="1"/>
  <c r="P420" i="8"/>
  <c r="P555" i="8"/>
  <c r="M545" i="8"/>
  <c r="O545" i="8"/>
  <c r="L544" i="8"/>
  <c r="O544" i="8" s="1"/>
  <c r="K651" i="8"/>
  <c r="I628" i="8"/>
  <c r="K628" i="8" s="1"/>
  <c r="P686" i="8"/>
  <c r="I197" i="8"/>
  <c r="K197" i="8" s="1"/>
  <c r="P446" i="8"/>
  <c r="J537" i="8"/>
  <c r="J522" i="8" s="1"/>
  <c r="K538" i="8"/>
  <c r="K723" i="8"/>
  <c r="I785" i="8"/>
  <c r="K785" i="8" s="1"/>
  <c r="K800" i="8"/>
  <c r="P807" i="8"/>
  <c r="M805" i="8"/>
  <c r="P805" i="8" s="1"/>
  <c r="L249" i="8"/>
  <c r="O249" i="8" s="1"/>
  <c r="M421" i="8"/>
  <c r="P421" i="8" s="1"/>
  <c r="M422" i="8"/>
  <c r="P422" i="8" s="1"/>
  <c r="P424" i="8"/>
  <c r="O449" i="8"/>
  <c r="L547" i="8"/>
  <c r="O547" i="8" s="1"/>
  <c r="O549" i="8"/>
  <c r="O660" i="8"/>
  <c r="M660" i="8"/>
  <c r="P688" i="8"/>
  <c r="P738" i="8"/>
  <c r="M737" i="8"/>
  <c r="P737" i="8" s="1"/>
  <c r="P771" i="8"/>
  <c r="M770" i="8"/>
  <c r="P770" i="8" s="1"/>
  <c r="L789" i="8"/>
  <c r="O789" i="8" s="1"/>
  <c r="O791" i="8"/>
  <c r="O806" i="8"/>
  <c r="L805" i="8"/>
  <c r="O805" i="8" s="1"/>
  <c r="L405" i="8"/>
  <c r="O405" i="8" s="1"/>
  <c r="O407" i="8"/>
  <c r="M447" i="8"/>
  <c r="P447" i="8" s="1"/>
  <c r="P449" i="8"/>
  <c r="O535" i="8"/>
  <c r="L525" i="8"/>
  <c r="M549" i="8"/>
  <c r="K592" i="8"/>
  <c r="N629" i="8"/>
  <c r="M687" i="8"/>
  <c r="P687" i="8" s="1"/>
  <c r="P788" i="8"/>
  <c r="M786" i="8"/>
  <c r="P786" i="8" s="1"/>
  <c r="K675" i="8"/>
  <c r="L422" i="8"/>
  <c r="O422" i="8" s="1"/>
  <c r="L429" i="8"/>
  <c r="O429" i="8" s="1"/>
  <c r="M43" i="3"/>
  <c r="M41" i="3" s="1"/>
  <c r="N300" i="5"/>
  <c r="N298" i="5" s="1"/>
  <c r="L330" i="5"/>
  <c r="L328" i="5" s="1"/>
  <c r="M424" i="5"/>
  <c r="P424" i="5" s="1"/>
  <c r="I443" i="6"/>
  <c r="K443" i="6" s="1"/>
  <c r="K355" i="7"/>
  <c r="N405" i="7"/>
  <c r="K438" i="7"/>
  <c r="M449" i="7"/>
  <c r="M446" i="7" s="1"/>
  <c r="M444" i="7" s="1"/>
  <c r="I785" i="7"/>
  <c r="N391" i="4"/>
  <c r="N389" i="4" s="1"/>
  <c r="O320" i="5"/>
  <c r="M404" i="5"/>
  <c r="P404" i="5" s="1"/>
  <c r="L469" i="5"/>
  <c r="L467" i="5" s="1"/>
  <c r="O467" i="5" s="1"/>
  <c r="L525" i="5"/>
  <c r="O525" i="5" s="1"/>
  <c r="L632" i="5"/>
  <c r="O632" i="5" s="1"/>
  <c r="P137" i="6"/>
  <c r="M151" i="6"/>
  <c r="M149" i="6" s="1"/>
  <c r="I190" i="6"/>
  <c r="K190" i="6" s="1"/>
  <c r="L546" i="6"/>
  <c r="O546" i="6" s="1"/>
  <c r="L631" i="6"/>
  <c r="O631" i="6" s="1"/>
  <c r="O46" i="7"/>
  <c r="M94" i="7"/>
  <c r="P94" i="7" s="1"/>
  <c r="L122" i="7"/>
  <c r="O122" i="7" s="1"/>
  <c r="N134" i="7"/>
  <c r="N132" i="7" s="1"/>
  <c r="P140" i="7"/>
  <c r="L155" i="7"/>
  <c r="O155" i="7" s="1"/>
  <c r="N167" i="7"/>
  <c r="N183" i="7"/>
  <c r="N181" i="7" s="1"/>
  <c r="O186" i="7"/>
  <c r="I233" i="7"/>
  <c r="K233" i="7" s="1"/>
  <c r="K244" i="7"/>
  <c r="N264" i="7"/>
  <c r="O264" i="7" s="1"/>
  <c r="L267" i="7"/>
  <c r="O267" i="7" s="1"/>
  <c r="M279" i="7"/>
  <c r="L317" i="7"/>
  <c r="L391" i="7"/>
  <c r="L422" i="7"/>
  <c r="O422" i="7" s="1"/>
  <c r="O424" i="7"/>
  <c r="O449" i="7"/>
  <c r="L526" i="7"/>
  <c r="O526" i="7" s="1"/>
  <c r="L546" i="7"/>
  <c r="L544" i="7" s="1"/>
  <c r="M549" i="7"/>
  <c r="P549" i="7" s="1"/>
  <c r="K651" i="7"/>
  <c r="L657" i="7"/>
  <c r="K824" i="7"/>
  <c r="M300" i="4"/>
  <c r="P300" i="4" s="1"/>
  <c r="O350" i="4"/>
  <c r="M171" i="5"/>
  <c r="P171" i="5" s="1"/>
  <c r="L421" i="5"/>
  <c r="L419" i="5" s="1"/>
  <c r="L122" i="6"/>
  <c r="O122" i="6" s="1"/>
  <c r="J785" i="6"/>
  <c r="L44" i="7"/>
  <c r="P46" i="7"/>
  <c r="L69" i="7"/>
  <c r="O69" i="7" s="1"/>
  <c r="O71" i="7"/>
  <c r="N90" i="7"/>
  <c r="N88" i="7" s="1"/>
  <c r="N279" i="7"/>
  <c r="N277" i="7" s="1"/>
  <c r="L300" i="7"/>
  <c r="O300" i="7" s="1"/>
  <c r="M317" i="7"/>
  <c r="M391" i="7"/>
  <c r="P391" i="7" s="1"/>
  <c r="O394" i="7"/>
  <c r="K577" i="7"/>
  <c r="I260" i="4"/>
  <c r="K260" i="4" s="1"/>
  <c r="L90" i="6"/>
  <c r="L334" i="6"/>
  <c r="O334" i="6" s="1"/>
  <c r="L469" i="6"/>
  <c r="O469" i="6" s="1"/>
  <c r="M549" i="6"/>
  <c r="P549" i="6" s="1"/>
  <c r="L47" i="7"/>
  <c r="O47" i="7" s="1"/>
  <c r="L56" i="7"/>
  <c r="O56" i="7" s="1"/>
  <c r="P71" i="7"/>
  <c r="K111" i="7"/>
  <c r="K115" i="7"/>
  <c r="L125" i="7"/>
  <c r="O125" i="7" s="1"/>
  <c r="L151" i="7"/>
  <c r="L149" i="7" s="1"/>
  <c r="P168" i="7"/>
  <c r="P170" i="7"/>
  <c r="L217" i="7"/>
  <c r="O217" i="7" s="1"/>
  <c r="P280" i="7"/>
  <c r="N317" i="7"/>
  <c r="N315" i="7" s="1"/>
  <c r="K569" i="7"/>
  <c r="L687" i="7"/>
  <c r="O687" i="7" s="1"/>
  <c r="K823" i="3"/>
  <c r="K826" i="3"/>
  <c r="I364" i="5"/>
  <c r="I148" i="6"/>
  <c r="K148" i="6" s="1"/>
  <c r="M283" i="6"/>
  <c r="P283" i="6" s="1"/>
  <c r="J433" i="6"/>
  <c r="J417" i="6" s="1"/>
  <c r="L525" i="6"/>
  <c r="O525" i="6" s="1"/>
  <c r="L547" i="6"/>
  <c r="O547" i="6" s="1"/>
  <c r="N55" i="7"/>
  <c r="N53" i="7" s="1"/>
  <c r="M68" i="7"/>
  <c r="L91" i="7"/>
  <c r="O91" i="7" s="1"/>
  <c r="L121" i="7"/>
  <c r="O154" i="7"/>
  <c r="L171" i="7"/>
  <c r="O171" i="7" s="1"/>
  <c r="M184" i="7"/>
  <c r="P184" i="7" s="1"/>
  <c r="L209" i="7"/>
  <c r="O209" i="7" s="1"/>
  <c r="L230" i="7"/>
  <c r="I260" i="7"/>
  <c r="K260" i="7" s="1"/>
  <c r="L263" i="7"/>
  <c r="L261" i="7" s="1"/>
  <c r="I275" i="7"/>
  <c r="K275" i="7" s="1"/>
  <c r="O280" i="7"/>
  <c r="L330" i="7"/>
  <c r="L328" i="7" s="1"/>
  <c r="K359" i="7"/>
  <c r="K385" i="7"/>
  <c r="L421" i="7"/>
  <c r="O557" i="7"/>
  <c r="K561" i="7"/>
  <c r="N544" i="7"/>
  <c r="K248" i="7"/>
  <c r="I226" i="7"/>
  <c r="L9" i="7"/>
  <c r="O12" i="7"/>
  <c r="L167" i="4"/>
  <c r="L165" i="4" s="1"/>
  <c r="P46" i="6"/>
  <c r="L151" i="6"/>
  <c r="L149" i="6" s="1"/>
  <c r="N26" i="7"/>
  <c r="N16" i="7" s="1"/>
  <c r="N14" i="7" s="1"/>
  <c r="P36" i="7"/>
  <c r="M34" i="7"/>
  <c r="P34" i="7" s="1"/>
  <c r="I77" i="7"/>
  <c r="K81" i="7"/>
  <c r="M152" i="7"/>
  <c r="P154" i="7"/>
  <c r="K288" i="7"/>
  <c r="N351" i="7"/>
  <c r="P353" i="7"/>
  <c r="N347" i="7"/>
  <c r="N345" i="7" s="1"/>
  <c r="I364" i="7"/>
  <c r="K365" i="7"/>
  <c r="K540" i="7"/>
  <c r="J537" i="7"/>
  <c r="J522" i="7" s="1"/>
  <c r="I275" i="3"/>
  <c r="K275" i="3" s="1"/>
  <c r="L90" i="5"/>
  <c r="L88" i="5" s="1"/>
  <c r="M155" i="5"/>
  <c r="P155" i="5" s="1"/>
  <c r="K204" i="5"/>
  <c r="L231" i="5"/>
  <c r="O351" i="5"/>
  <c r="L533" i="5"/>
  <c r="O533" i="5" s="1"/>
  <c r="O535" i="5"/>
  <c r="L33" i="6"/>
  <c r="L31" i="6" s="1"/>
  <c r="O31" i="6" s="1"/>
  <c r="M47" i="6"/>
  <c r="P47" i="6" s="1"/>
  <c r="O58" i="6"/>
  <c r="I77" i="6"/>
  <c r="I65" i="6" s="1"/>
  <c r="K65" i="6" s="1"/>
  <c r="I130" i="6"/>
  <c r="K130" i="6" s="1"/>
  <c r="P135" i="6"/>
  <c r="P140" i="6"/>
  <c r="O154" i="6"/>
  <c r="N151" i="6"/>
  <c r="N149" i="6" s="1"/>
  <c r="L230" i="6"/>
  <c r="O348" i="6"/>
  <c r="K379" i="6"/>
  <c r="L447" i="6"/>
  <c r="O447" i="6" s="1"/>
  <c r="O449" i="6"/>
  <c r="J722" i="6"/>
  <c r="O35" i="7"/>
  <c r="I86" i="7"/>
  <c r="K86" i="7" s="1"/>
  <c r="K98" i="7"/>
  <c r="M122" i="7"/>
  <c r="P122" i="7" s="1"/>
  <c r="P124" i="7"/>
  <c r="P150" i="7"/>
  <c r="L168" i="7"/>
  <c r="O168" i="7" s="1"/>
  <c r="I208" i="7"/>
  <c r="K208" i="7" s="1"/>
  <c r="K255" i="7"/>
  <c r="O266" i="7"/>
  <c r="P299" i="7"/>
  <c r="O353" i="7"/>
  <c r="P410" i="7"/>
  <c r="M404" i="7"/>
  <c r="P524" i="7"/>
  <c r="M523" i="7"/>
  <c r="P523" i="7" s="1"/>
  <c r="I543" i="7"/>
  <c r="K543" i="7" s="1"/>
  <c r="M631" i="7"/>
  <c r="M632" i="7"/>
  <c r="P632" i="7" s="1"/>
  <c r="P634" i="7"/>
  <c r="O787" i="7"/>
  <c r="L786" i="7"/>
  <c r="N789" i="7"/>
  <c r="J592" i="7"/>
  <c r="K592" i="7" s="1"/>
  <c r="K593" i="7"/>
  <c r="O46" i="4"/>
  <c r="L55" i="5"/>
  <c r="L53" i="5" s="1"/>
  <c r="L134" i="5"/>
  <c r="O134" i="5" s="1"/>
  <c r="N134" i="5"/>
  <c r="N132" i="5" s="1"/>
  <c r="K369" i="5"/>
  <c r="L395" i="5"/>
  <c r="O395" i="5" s="1"/>
  <c r="P61" i="6"/>
  <c r="K98" i="6"/>
  <c r="N134" i="6"/>
  <c r="N132" i="6" s="1"/>
  <c r="L155" i="6"/>
  <c r="O155" i="6" s="1"/>
  <c r="L168" i="6"/>
  <c r="P186" i="6"/>
  <c r="L318" i="6"/>
  <c r="M404" i="6"/>
  <c r="P404" i="6" s="1"/>
  <c r="L421" i="6"/>
  <c r="L419" i="6" s="1"/>
  <c r="O419" i="6" s="1"/>
  <c r="K649" i="6"/>
  <c r="K822" i="6"/>
  <c r="K825" i="6"/>
  <c r="K828" i="6"/>
  <c r="L23" i="7"/>
  <c r="L21" i="7" s="1"/>
  <c r="P120" i="7"/>
  <c r="M155" i="7"/>
  <c r="P155" i="7" s="1"/>
  <c r="P157" i="7"/>
  <c r="L183" i="7"/>
  <c r="L187" i="7"/>
  <c r="O187" i="7" s="1"/>
  <c r="M264" i="7"/>
  <c r="P266" i="7"/>
  <c r="P282" i="7"/>
  <c r="L304" i="7"/>
  <c r="O304" i="7" s="1"/>
  <c r="O306" i="7"/>
  <c r="J559" i="7"/>
  <c r="J543" i="7" s="1"/>
  <c r="K576" i="7"/>
  <c r="P687" i="7"/>
  <c r="M685" i="7"/>
  <c r="P685" i="7" s="1"/>
  <c r="P755" i="7"/>
  <c r="M754" i="7"/>
  <c r="P754" i="7" s="1"/>
  <c r="P390" i="7"/>
  <c r="O74" i="5"/>
  <c r="L125" i="5"/>
  <c r="O125" i="5" s="1"/>
  <c r="I130" i="5"/>
  <c r="K130" i="5" s="1"/>
  <c r="L138" i="5"/>
  <c r="O138" i="5" s="1"/>
  <c r="O170" i="5"/>
  <c r="O266" i="5"/>
  <c r="N23" i="6"/>
  <c r="N21" i="6" s="1"/>
  <c r="L228" i="6"/>
  <c r="L264" i="6"/>
  <c r="M300" i="6"/>
  <c r="P12" i="7"/>
  <c r="M9" i="7"/>
  <c r="M23" i="7"/>
  <c r="P25" i="7"/>
  <c r="M15" i="7"/>
  <c r="N31" i="7"/>
  <c r="M56" i="7"/>
  <c r="P56" i="7" s="1"/>
  <c r="P58" i="7"/>
  <c r="O96" i="7"/>
  <c r="L26" i="7"/>
  <c r="M125" i="7"/>
  <c r="P125" i="7" s="1"/>
  <c r="P127" i="7"/>
  <c r="L167" i="7"/>
  <c r="P262" i="7"/>
  <c r="O403" i="7"/>
  <c r="N504" i="7"/>
  <c r="N33" i="7"/>
  <c r="N505" i="7"/>
  <c r="N629" i="7"/>
  <c r="O686" i="7"/>
  <c r="N55" i="2"/>
  <c r="N53" i="2" s="1"/>
  <c r="I208" i="4"/>
  <c r="K208" i="4" s="1"/>
  <c r="K649" i="4"/>
  <c r="K708" i="4"/>
  <c r="K729" i="4"/>
  <c r="M317" i="5"/>
  <c r="P317" i="5" s="1"/>
  <c r="K699" i="5"/>
  <c r="L36" i="6"/>
  <c r="O36" i="6" s="1"/>
  <c r="M43" i="6"/>
  <c r="M41" i="6" s="1"/>
  <c r="N56" i="6"/>
  <c r="N68" i="6"/>
  <c r="N66" i="6" s="1"/>
  <c r="M90" i="6"/>
  <c r="M88" i="6" s="1"/>
  <c r="M121" i="6"/>
  <c r="M119" i="6" s="1"/>
  <c r="O127" i="6"/>
  <c r="N184" i="6"/>
  <c r="O184" i="6" s="1"/>
  <c r="N183" i="6"/>
  <c r="M334" i="6"/>
  <c r="P334" i="6" s="1"/>
  <c r="K338" i="6"/>
  <c r="P353" i="6"/>
  <c r="M391" i="6"/>
  <c r="P391" i="6" s="1"/>
  <c r="L404" i="6"/>
  <c r="O404" i="6" s="1"/>
  <c r="J721" i="6"/>
  <c r="N12" i="7"/>
  <c r="M19" i="7"/>
  <c r="O29" i="7"/>
  <c r="P54" i="7"/>
  <c r="M59" i="7"/>
  <c r="P59" i="7" s="1"/>
  <c r="M26" i="7"/>
  <c r="P61" i="7"/>
  <c r="M151" i="7"/>
  <c r="I190" i="7"/>
  <c r="K190" i="7" s="1"/>
  <c r="M267" i="7"/>
  <c r="P267" i="7" s="1"/>
  <c r="P269" i="7"/>
  <c r="O282" i="7"/>
  <c r="N331" i="7"/>
  <c r="N330" i="7"/>
  <c r="K560" i="6"/>
  <c r="K577" i="6"/>
  <c r="K823" i="6"/>
  <c r="K826" i="6"/>
  <c r="N23" i="7"/>
  <c r="M29" i="7"/>
  <c r="O61" i="7"/>
  <c r="J143" i="7"/>
  <c r="J131" i="7" s="1"/>
  <c r="N348" i="7"/>
  <c r="P350" i="7"/>
  <c r="K435" i="7"/>
  <c r="J433" i="7"/>
  <c r="J417" i="7" s="1"/>
  <c r="K417" i="7" s="1"/>
  <c r="L454" i="7"/>
  <c r="O454" i="7" s="1"/>
  <c r="L446" i="7"/>
  <c r="O446" i="7" s="1"/>
  <c r="O503" i="7"/>
  <c r="L502" i="7"/>
  <c r="O502" i="7" s="1"/>
  <c r="N523" i="7"/>
  <c r="I522" i="7"/>
  <c r="K522" i="7" s="1"/>
  <c r="K537" i="7"/>
  <c r="N786" i="7"/>
  <c r="P806" i="7"/>
  <c r="M805" i="7"/>
  <c r="P805" i="7" s="1"/>
  <c r="K821" i="7"/>
  <c r="K827" i="7"/>
  <c r="N44" i="7"/>
  <c r="P44" i="7" s="1"/>
  <c r="K340" i="7"/>
  <c r="K374" i="7"/>
  <c r="N467" i="7"/>
  <c r="O547" i="7"/>
  <c r="O549" i="7"/>
  <c r="N546" i="7"/>
  <c r="N547" i="7"/>
  <c r="K594" i="7"/>
  <c r="P738" i="7"/>
  <c r="M737" i="7"/>
  <c r="P737" i="7" s="1"/>
  <c r="P771" i="7"/>
  <c r="M770" i="7"/>
  <c r="P770" i="7" s="1"/>
  <c r="L405" i="7"/>
  <c r="O405" i="7" s="1"/>
  <c r="O407" i="7"/>
  <c r="M421" i="7"/>
  <c r="M422" i="7"/>
  <c r="P422" i="7" s="1"/>
  <c r="P424" i="7"/>
  <c r="P445" i="7"/>
  <c r="N470" i="7"/>
  <c r="O470" i="7" s="1"/>
  <c r="N502" i="7"/>
  <c r="O788" i="7"/>
  <c r="L789" i="7"/>
  <c r="O791" i="7"/>
  <c r="P333" i="7"/>
  <c r="L408" i="7"/>
  <c r="O408" i="7" s="1"/>
  <c r="O410" i="7"/>
  <c r="N444" i="7"/>
  <c r="O472" i="7"/>
  <c r="J594" i="7"/>
  <c r="N631" i="7"/>
  <c r="N632" i="7"/>
  <c r="L639" i="7"/>
  <c r="O639" i="7" s="1"/>
  <c r="L631" i="7"/>
  <c r="M791" i="7"/>
  <c r="L533" i="7"/>
  <c r="O533" i="7" s="1"/>
  <c r="I628" i="7"/>
  <c r="K628" i="7" s="1"/>
  <c r="L632" i="7"/>
  <c r="O632" i="7" s="1"/>
  <c r="L658" i="7"/>
  <c r="O658" i="7" s="1"/>
  <c r="M502" i="7"/>
  <c r="P502" i="7" s="1"/>
  <c r="L525" i="7"/>
  <c r="I543" i="6"/>
  <c r="K543" i="6" s="1"/>
  <c r="K559" i="6"/>
  <c r="M68" i="6"/>
  <c r="L477" i="4"/>
  <c r="O477" i="4" s="1"/>
  <c r="K537" i="4"/>
  <c r="N138" i="5"/>
  <c r="J722" i="5"/>
  <c r="M59" i="6"/>
  <c r="P59" i="6" s="1"/>
  <c r="M72" i="6"/>
  <c r="P72" i="6" s="1"/>
  <c r="K81" i="6"/>
  <c r="N91" i="6"/>
  <c r="O91" i="6" s="1"/>
  <c r="O93" i="6"/>
  <c r="M138" i="6"/>
  <c r="N168" i="6"/>
  <c r="O170" i="6"/>
  <c r="K176" i="6"/>
  <c r="L209" i="6"/>
  <c r="O209" i="6" s="1"/>
  <c r="K244" i="6"/>
  <c r="N264" i="6"/>
  <c r="O266" i="6"/>
  <c r="L279" i="6"/>
  <c r="L277" i="6" s="1"/>
  <c r="N301" i="6"/>
  <c r="O303" i="6"/>
  <c r="N318" i="6"/>
  <c r="O320" i="6"/>
  <c r="I433" i="6"/>
  <c r="I417" i="6" s="1"/>
  <c r="K435" i="6"/>
  <c r="K460" i="6"/>
  <c r="K801" i="6"/>
  <c r="L330" i="2"/>
  <c r="L328" i="2" s="1"/>
  <c r="I143" i="5"/>
  <c r="I131" i="5" s="1"/>
  <c r="K131" i="5" s="1"/>
  <c r="N317" i="5"/>
  <c r="N315" i="5" s="1"/>
  <c r="L94" i="6"/>
  <c r="O94" i="6" s="1"/>
  <c r="I112" i="6"/>
  <c r="K112" i="6" s="1"/>
  <c r="N122" i="6"/>
  <c r="M134" i="6"/>
  <c r="M132" i="6" s="1"/>
  <c r="N138" i="6"/>
  <c r="N155" i="6"/>
  <c r="L171" i="6"/>
  <c r="O171" i="6" s="1"/>
  <c r="M183" i="6"/>
  <c r="M181" i="6" s="1"/>
  <c r="N187" i="6"/>
  <c r="I208" i="6"/>
  <c r="K208" i="6" s="1"/>
  <c r="L238" i="6"/>
  <c r="O238" i="6" s="1"/>
  <c r="I260" i="6"/>
  <c r="K260" i="6" s="1"/>
  <c r="L267" i="6"/>
  <c r="O267" i="6" s="1"/>
  <c r="M279" i="6"/>
  <c r="M277" i="6" s="1"/>
  <c r="N279" i="6"/>
  <c r="N277" i="6" s="1"/>
  <c r="J288" i="6"/>
  <c r="J275" i="6" s="1"/>
  <c r="K275" i="6" s="1"/>
  <c r="L304" i="6"/>
  <c r="O304" i="6" s="1"/>
  <c r="I314" i="6"/>
  <c r="K314" i="6" s="1"/>
  <c r="L321" i="6"/>
  <c r="O321" i="6" s="1"/>
  <c r="M395" i="6"/>
  <c r="P395" i="6" s="1"/>
  <c r="P397" i="6"/>
  <c r="M405" i="6"/>
  <c r="P405" i="6" s="1"/>
  <c r="L446" i="6"/>
  <c r="O446" i="6" s="1"/>
  <c r="M472" i="6"/>
  <c r="P472" i="6" s="1"/>
  <c r="K568" i="6"/>
  <c r="M634" i="6"/>
  <c r="M631" i="6" s="1"/>
  <c r="P631" i="6" s="1"/>
  <c r="L788" i="6"/>
  <c r="O788" i="6" s="1"/>
  <c r="K821" i="6"/>
  <c r="K824" i="6"/>
  <c r="K827" i="6"/>
  <c r="O59" i="6"/>
  <c r="L56" i="4"/>
  <c r="L59" i="4"/>
  <c r="O59" i="4" s="1"/>
  <c r="L69" i="4"/>
  <c r="O69" i="4" s="1"/>
  <c r="I364" i="4"/>
  <c r="M321" i="5"/>
  <c r="P321" i="5" s="1"/>
  <c r="O44" i="6"/>
  <c r="P58" i="6"/>
  <c r="L125" i="6"/>
  <c r="O125" i="6" s="1"/>
  <c r="O137" i="6"/>
  <c r="M167" i="6"/>
  <c r="L198" i="6"/>
  <c r="O198" i="6" s="1"/>
  <c r="L217" i="6"/>
  <c r="O217" i="6" s="1"/>
  <c r="I237" i="6"/>
  <c r="K237" i="6" s="1"/>
  <c r="M317" i="6"/>
  <c r="K340" i="6"/>
  <c r="K359" i="6"/>
  <c r="M408" i="6"/>
  <c r="P408" i="6" s="1"/>
  <c r="I434" i="6"/>
  <c r="L470" i="6"/>
  <c r="O470" i="6" s="1"/>
  <c r="L632" i="6"/>
  <c r="O632" i="6" s="1"/>
  <c r="L657" i="6"/>
  <c r="I197" i="4"/>
  <c r="K197" i="4" s="1"/>
  <c r="P69" i="5"/>
  <c r="M23" i="6"/>
  <c r="M21" i="6" s="1"/>
  <c r="N26" i="6"/>
  <c r="N16" i="6" s="1"/>
  <c r="N14" i="6" s="1"/>
  <c r="I76" i="6"/>
  <c r="L121" i="6"/>
  <c r="O472" i="6"/>
  <c r="O634" i="6"/>
  <c r="L304" i="4"/>
  <c r="O304" i="4" s="1"/>
  <c r="K325" i="5"/>
  <c r="M330" i="5"/>
  <c r="N404" i="5"/>
  <c r="N402" i="5" s="1"/>
  <c r="P44" i="6"/>
  <c r="L55" i="6"/>
  <c r="O71" i="6"/>
  <c r="K80" i="6"/>
  <c r="O140" i="6"/>
  <c r="P170" i="6"/>
  <c r="I216" i="6"/>
  <c r="K216" i="6" s="1"/>
  <c r="L231" i="6"/>
  <c r="M263" i="6"/>
  <c r="M261" i="6" s="1"/>
  <c r="P320" i="6"/>
  <c r="J327" i="6"/>
  <c r="K327" i="6" s="1"/>
  <c r="N351" i="6"/>
  <c r="O351" i="6" s="1"/>
  <c r="K355" i="6"/>
  <c r="K360" i="6"/>
  <c r="J537" i="6"/>
  <c r="J522" i="6" s="1"/>
  <c r="K651" i="6"/>
  <c r="K673" i="6"/>
  <c r="K700" i="6"/>
  <c r="O15" i="6"/>
  <c r="O19" i="6"/>
  <c r="O54" i="6"/>
  <c r="M125" i="6"/>
  <c r="P125" i="6" s="1"/>
  <c r="P127" i="6"/>
  <c r="O299" i="6"/>
  <c r="P807" i="6"/>
  <c r="M805" i="6"/>
  <c r="P805" i="6" s="1"/>
  <c r="N279" i="2"/>
  <c r="N277" i="2" s="1"/>
  <c r="N55" i="3"/>
  <c r="N53" i="3" s="1"/>
  <c r="L36" i="5"/>
  <c r="O36" i="5" s="1"/>
  <c r="M43" i="5"/>
  <c r="M41" i="5" s="1"/>
  <c r="M125" i="5"/>
  <c r="P125" i="5" s="1"/>
  <c r="L167" i="5"/>
  <c r="L165" i="5" s="1"/>
  <c r="L183" i="5"/>
  <c r="L181" i="5" s="1"/>
  <c r="L187" i="5"/>
  <c r="O187" i="5" s="1"/>
  <c r="N263" i="5"/>
  <c r="N261" i="5" s="1"/>
  <c r="O456" i="5"/>
  <c r="L789" i="5"/>
  <c r="O789" i="5" s="1"/>
  <c r="L788" i="5"/>
  <c r="O788" i="5" s="1"/>
  <c r="K821" i="5"/>
  <c r="K824" i="5"/>
  <c r="K827" i="5"/>
  <c r="L29" i="6"/>
  <c r="N30" i="6"/>
  <c r="O89" i="6"/>
  <c r="K86" i="6"/>
  <c r="O150" i="6"/>
  <c r="M267" i="6"/>
  <c r="P267" i="6" s="1"/>
  <c r="P269" i="6"/>
  <c r="M301" i="6"/>
  <c r="P303" i="6"/>
  <c r="O350" i="6"/>
  <c r="L347" i="6"/>
  <c r="L345" i="6" s="1"/>
  <c r="L422" i="3"/>
  <c r="O422" i="3" s="1"/>
  <c r="N43" i="4"/>
  <c r="N41" i="4" s="1"/>
  <c r="I86" i="4"/>
  <c r="K86" i="4" s="1"/>
  <c r="M155" i="4"/>
  <c r="P155" i="4" s="1"/>
  <c r="L404" i="4"/>
  <c r="O404" i="4" s="1"/>
  <c r="L408" i="4"/>
  <c r="O408" i="4" s="1"/>
  <c r="K647" i="4"/>
  <c r="L33" i="5"/>
  <c r="O33" i="5" s="1"/>
  <c r="L43" i="5"/>
  <c r="L41" i="5" s="1"/>
  <c r="L47" i="5"/>
  <c r="O47" i="5" s="1"/>
  <c r="M55" i="5"/>
  <c r="N55" i="5"/>
  <c r="N53" i="5" s="1"/>
  <c r="L68" i="5"/>
  <c r="L66" i="5" s="1"/>
  <c r="O91" i="5"/>
  <c r="L168" i="5"/>
  <c r="P189" i="5"/>
  <c r="I260" i="5"/>
  <c r="K260" i="5" s="1"/>
  <c r="N264" i="5"/>
  <c r="P264" i="5" s="1"/>
  <c r="P280" i="5"/>
  <c r="J288" i="5"/>
  <c r="J275" i="5" s="1"/>
  <c r="P306" i="5"/>
  <c r="L334" i="5"/>
  <c r="O334" i="5" s="1"/>
  <c r="L347" i="5"/>
  <c r="L345" i="5" s="1"/>
  <c r="M391" i="5"/>
  <c r="P391" i="5" s="1"/>
  <c r="O431" i="5"/>
  <c r="O22" i="6"/>
  <c r="N31" i="6"/>
  <c r="N29" i="6"/>
  <c r="N28" i="6" s="1"/>
  <c r="L43" i="6"/>
  <c r="M91" i="6"/>
  <c r="P93" i="6"/>
  <c r="J143" i="6"/>
  <c r="J131" i="6" s="1"/>
  <c r="K145" i="6"/>
  <c r="I143" i="6"/>
  <c r="M152" i="6"/>
  <c r="P152" i="6" s="1"/>
  <c r="P154" i="6"/>
  <c r="I164" i="6"/>
  <c r="K164" i="6" s="1"/>
  <c r="O333" i="6"/>
  <c r="L330" i="6"/>
  <c r="L328" i="6" s="1"/>
  <c r="L657" i="2"/>
  <c r="L655" i="2" s="1"/>
  <c r="P184" i="3"/>
  <c r="L238" i="4"/>
  <c r="O238" i="4" s="1"/>
  <c r="L263" i="4"/>
  <c r="L261" i="4" s="1"/>
  <c r="J364" i="4"/>
  <c r="J721" i="4"/>
  <c r="K721" i="4" s="1"/>
  <c r="O71" i="5"/>
  <c r="I77" i="5"/>
  <c r="K77" i="5" s="1"/>
  <c r="M90" i="5"/>
  <c r="M88" i="5" s="1"/>
  <c r="L135" i="5"/>
  <c r="O135" i="5" s="1"/>
  <c r="L171" i="5"/>
  <c r="O171" i="5" s="1"/>
  <c r="L217" i="5"/>
  <c r="O217" i="5" s="1"/>
  <c r="I275" i="5"/>
  <c r="L392" i="5"/>
  <c r="O392" i="5" s="1"/>
  <c r="P394" i="5"/>
  <c r="M405" i="5"/>
  <c r="P405" i="5" s="1"/>
  <c r="M408" i="5"/>
  <c r="P408" i="5" s="1"/>
  <c r="K822" i="5"/>
  <c r="K825" i="5"/>
  <c r="K828" i="5"/>
  <c r="L12" i="6"/>
  <c r="P22" i="6"/>
  <c r="O25" i="6"/>
  <c r="O46" i="6"/>
  <c r="O61" i="6"/>
  <c r="O74" i="6"/>
  <c r="O120" i="6"/>
  <c r="O152" i="6"/>
  <c r="M304" i="6"/>
  <c r="P304" i="6" s="1"/>
  <c r="P306" i="6"/>
  <c r="L331" i="6"/>
  <c r="O331" i="6" s="1"/>
  <c r="N347" i="6"/>
  <c r="N345" i="6" s="1"/>
  <c r="N395" i="6"/>
  <c r="N391" i="6"/>
  <c r="N389" i="6" s="1"/>
  <c r="O91" i="3"/>
  <c r="K362" i="3"/>
  <c r="K385" i="3"/>
  <c r="I248" i="4"/>
  <c r="K248" i="4" s="1"/>
  <c r="L547" i="4"/>
  <c r="O547" i="4" s="1"/>
  <c r="P59" i="5"/>
  <c r="L238" i="5"/>
  <c r="O238" i="5" s="1"/>
  <c r="I433" i="5"/>
  <c r="I417" i="5" s="1"/>
  <c r="M12" i="6"/>
  <c r="L23" i="6"/>
  <c r="L21" i="6" s="1"/>
  <c r="N43" i="6"/>
  <c r="L47" i="6"/>
  <c r="O47" i="6" s="1"/>
  <c r="L26" i="6"/>
  <c r="L68" i="6"/>
  <c r="M94" i="6"/>
  <c r="P94" i="6" s="1"/>
  <c r="P96" i="6"/>
  <c r="M122" i="6"/>
  <c r="P122" i="6" s="1"/>
  <c r="P124" i="6"/>
  <c r="M155" i="6"/>
  <c r="P155" i="6" s="1"/>
  <c r="P157" i="6"/>
  <c r="K255" i="6"/>
  <c r="I248" i="6"/>
  <c r="O262" i="6"/>
  <c r="P278" i="6"/>
  <c r="N280" i="6"/>
  <c r="O280" i="6" s="1"/>
  <c r="P282" i="6"/>
  <c r="N330" i="6"/>
  <c r="N328" i="6" s="1"/>
  <c r="N68" i="3"/>
  <c r="N66" i="3" s="1"/>
  <c r="P93" i="4"/>
  <c r="J722" i="4"/>
  <c r="K722" i="4" s="1"/>
  <c r="K821" i="4"/>
  <c r="K824" i="4"/>
  <c r="K827" i="4"/>
  <c r="I148" i="5"/>
  <c r="K148" i="5" s="1"/>
  <c r="N151" i="5"/>
  <c r="N149" i="5" s="1"/>
  <c r="P184" i="5"/>
  <c r="K362" i="5"/>
  <c r="M19" i="6"/>
  <c r="M26" i="6"/>
  <c r="M264" i="6"/>
  <c r="P266" i="6"/>
  <c r="N408" i="6"/>
  <c r="N404" i="6"/>
  <c r="N402" i="6" s="1"/>
  <c r="O630" i="6"/>
  <c r="P133" i="6"/>
  <c r="L135" i="6"/>
  <c r="O135" i="6" s="1"/>
  <c r="L138" i="6"/>
  <c r="M168" i="6"/>
  <c r="M171" i="6"/>
  <c r="P171" i="6" s="1"/>
  <c r="M184" i="6"/>
  <c r="M187" i="6"/>
  <c r="P187" i="6" s="1"/>
  <c r="O282" i="6"/>
  <c r="O285" i="6"/>
  <c r="M318" i="6"/>
  <c r="M321" i="6"/>
  <c r="P321" i="6" s="1"/>
  <c r="P329" i="6"/>
  <c r="P331" i="6"/>
  <c r="P346" i="6"/>
  <c r="I364" i="6"/>
  <c r="K372" i="6"/>
  <c r="J365" i="6"/>
  <c r="P690" i="6"/>
  <c r="M687" i="6"/>
  <c r="M685" i="6" s="1"/>
  <c r="P685" i="6" s="1"/>
  <c r="N756" i="6"/>
  <c r="N754" i="6" s="1"/>
  <c r="N757" i="6"/>
  <c r="O772" i="6"/>
  <c r="L770" i="6"/>
  <c r="O770" i="6" s="1"/>
  <c r="O806" i="6"/>
  <c r="L805" i="6"/>
  <c r="O805" i="6" s="1"/>
  <c r="L405" i="6"/>
  <c r="O405" i="6" s="1"/>
  <c r="O407" i="6"/>
  <c r="P420" i="6"/>
  <c r="N687" i="6"/>
  <c r="N685" i="6" s="1"/>
  <c r="N688" i="6"/>
  <c r="P688" i="6" s="1"/>
  <c r="K99" i="6"/>
  <c r="I197" i="6"/>
  <c r="K197" i="6" s="1"/>
  <c r="P333" i="6"/>
  <c r="P350" i="6"/>
  <c r="P390" i="6"/>
  <c r="P403" i="6"/>
  <c r="P446" i="6"/>
  <c r="M444" i="6"/>
  <c r="P444" i="6" s="1"/>
  <c r="O739" i="6"/>
  <c r="L737" i="6"/>
  <c r="O737" i="6" s="1"/>
  <c r="N772" i="6"/>
  <c r="N770" i="6" s="1"/>
  <c r="N773" i="6"/>
  <c r="N805" i="6"/>
  <c r="L249" i="6"/>
  <c r="O249" i="6" s="1"/>
  <c r="O353" i="6"/>
  <c r="K381" i="6"/>
  <c r="J374" i="6"/>
  <c r="K374" i="6" s="1"/>
  <c r="L408" i="6"/>
  <c r="O408" i="6" s="1"/>
  <c r="O410" i="6"/>
  <c r="M421" i="6"/>
  <c r="P421" i="6" s="1"/>
  <c r="M422" i="6"/>
  <c r="P422" i="6" s="1"/>
  <c r="P424" i="6"/>
  <c r="O445" i="6"/>
  <c r="P503" i="6"/>
  <c r="M502" i="6"/>
  <c r="P502" i="6" s="1"/>
  <c r="I592" i="6"/>
  <c r="K592" i="6" s="1"/>
  <c r="K593" i="6"/>
  <c r="K369" i="6"/>
  <c r="M447" i="6"/>
  <c r="P447" i="6" s="1"/>
  <c r="P449" i="6"/>
  <c r="N739" i="6"/>
  <c r="N737" i="6" s="1"/>
  <c r="N414" i="6" s="1"/>
  <c r="N740" i="6"/>
  <c r="O756" i="6"/>
  <c r="L754" i="6"/>
  <c r="O754" i="6" s="1"/>
  <c r="O394" i="6"/>
  <c r="O397" i="6"/>
  <c r="O424" i="6"/>
  <c r="O468" i="6"/>
  <c r="I522" i="6"/>
  <c r="P524" i="6"/>
  <c r="L526" i="6"/>
  <c r="O526" i="6" s="1"/>
  <c r="L533" i="6"/>
  <c r="O533" i="6" s="1"/>
  <c r="I654" i="6"/>
  <c r="K654" i="6" s="1"/>
  <c r="P656" i="6"/>
  <c r="L658" i="6"/>
  <c r="O658" i="6" s="1"/>
  <c r="K674" i="6"/>
  <c r="O690" i="6"/>
  <c r="L422" i="6"/>
  <c r="O422" i="6" s="1"/>
  <c r="L429" i="6"/>
  <c r="O429" i="6" s="1"/>
  <c r="M528" i="6"/>
  <c r="K576" i="6"/>
  <c r="M660" i="6"/>
  <c r="K675" i="6"/>
  <c r="M737" i="6"/>
  <c r="P737" i="6" s="1"/>
  <c r="M754" i="6"/>
  <c r="P754" i="6" s="1"/>
  <c r="M770" i="6"/>
  <c r="P770" i="6" s="1"/>
  <c r="L688" i="6"/>
  <c r="O688" i="6" s="1"/>
  <c r="O44" i="5"/>
  <c r="K174" i="5"/>
  <c r="I164" i="5"/>
  <c r="K164" i="5" s="1"/>
  <c r="M121" i="2"/>
  <c r="P121" i="2" s="1"/>
  <c r="M317" i="3"/>
  <c r="P317" i="3" s="1"/>
  <c r="M330" i="3"/>
  <c r="M328" i="3" s="1"/>
  <c r="N134" i="4"/>
  <c r="N132" i="4" s="1"/>
  <c r="L229" i="4"/>
  <c r="L249" i="4"/>
  <c r="O249" i="4" s="1"/>
  <c r="K288" i="4"/>
  <c r="N405" i="4"/>
  <c r="M424" i="4"/>
  <c r="J537" i="4"/>
  <c r="J522" i="4" s="1"/>
  <c r="L657" i="4"/>
  <c r="O657" i="4" s="1"/>
  <c r="L56" i="5"/>
  <c r="P96" i="5"/>
  <c r="M134" i="5"/>
  <c r="P134" i="5" s="1"/>
  <c r="P137" i="5"/>
  <c r="K176" i="5"/>
  <c r="O186" i="5"/>
  <c r="L230" i="5"/>
  <c r="L300" i="5"/>
  <c r="L298" i="5" s="1"/>
  <c r="M318" i="5"/>
  <c r="P318" i="5" s="1"/>
  <c r="K340" i="5"/>
  <c r="M347" i="5"/>
  <c r="M345" i="5" s="1"/>
  <c r="K379" i="5"/>
  <c r="L391" i="5"/>
  <c r="J433" i="5"/>
  <c r="I434" i="5"/>
  <c r="L446" i="5"/>
  <c r="O446" i="5" s="1"/>
  <c r="K537" i="5"/>
  <c r="I592" i="5"/>
  <c r="K592" i="5" s="1"/>
  <c r="J721" i="5"/>
  <c r="L317" i="3"/>
  <c r="O317" i="3" s="1"/>
  <c r="L330" i="3"/>
  <c r="L328" i="3" s="1"/>
  <c r="I443" i="3"/>
  <c r="K443" i="3" s="1"/>
  <c r="M59" i="4"/>
  <c r="P59" i="4" s="1"/>
  <c r="M125" i="4"/>
  <c r="P125" i="4" s="1"/>
  <c r="M267" i="4"/>
  <c r="P267" i="4" s="1"/>
  <c r="M167" i="5"/>
  <c r="P167" i="5" s="1"/>
  <c r="L229" i="5"/>
  <c r="O472" i="5"/>
  <c r="I260" i="2"/>
  <c r="K260" i="2" s="1"/>
  <c r="L318" i="3"/>
  <c r="O318" i="3" s="1"/>
  <c r="M331" i="3"/>
  <c r="M279" i="4"/>
  <c r="M277" i="4" s="1"/>
  <c r="I314" i="4"/>
  <c r="K314" i="4" s="1"/>
  <c r="L318" i="4"/>
  <c r="O318" i="4" s="1"/>
  <c r="L26" i="5"/>
  <c r="L24" i="5" s="1"/>
  <c r="N56" i="5"/>
  <c r="O61" i="5"/>
  <c r="O69" i="5"/>
  <c r="M152" i="5"/>
  <c r="P152" i="5" s="1"/>
  <c r="M183" i="5"/>
  <c r="M181" i="5" s="1"/>
  <c r="K224" i="5"/>
  <c r="P266" i="5"/>
  <c r="I276" i="5"/>
  <c r="K276" i="5" s="1"/>
  <c r="N279" i="5"/>
  <c r="N277" i="5" s="1"/>
  <c r="N301" i="5"/>
  <c r="O301" i="5" s="1"/>
  <c r="L304" i="5"/>
  <c r="O304" i="5" s="1"/>
  <c r="P333" i="5"/>
  <c r="J327" i="5"/>
  <c r="K327" i="5" s="1"/>
  <c r="P353" i="5"/>
  <c r="K360" i="5"/>
  <c r="K385" i="5"/>
  <c r="N391" i="5"/>
  <c r="N389" i="5" s="1"/>
  <c r="M449" i="5"/>
  <c r="M446" i="5" s="1"/>
  <c r="M444" i="5" s="1"/>
  <c r="P444" i="5" s="1"/>
  <c r="L470" i="5"/>
  <c r="O470" i="5" s="1"/>
  <c r="O282" i="2"/>
  <c r="I233" i="3"/>
  <c r="K233" i="3" s="1"/>
  <c r="K146" i="4"/>
  <c r="L155" i="4"/>
  <c r="O155" i="4" s="1"/>
  <c r="N167" i="4"/>
  <c r="N165" i="4" s="1"/>
  <c r="L279" i="4"/>
  <c r="L277" i="4" s="1"/>
  <c r="O282" i="4"/>
  <c r="L347" i="4"/>
  <c r="L345" i="4" s="1"/>
  <c r="P71" i="5"/>
  <c r="L155" i="5"/>
  <c r="O155" i="5" s="1"/>
  <c r="L267" i="5"/>
  <c r="O267" i="5" s="1"/>
  <c r="P336" i="5"/>
  <c r="J537" i="5"/>
  <c r="J522" i="5" s="1"/>
  <c r="L264" i="5"/>
  <c r="M279" i="3"/>
  <c r="M277" i="3" s="1"/>
  <c r="I148" i="4"/>
  <c r="K148" i="4" s="1"/>
  <c r="M183" i="4"/>
  <c r="M181" i="4" s="1"/>
  <c r="M280" i="4"/>
  <c r="L392" i="4"/>
  <c r="O392" i="4" s="1"/>
  <c r="N26" i="5"/>
  <c r="N16" i="5" s="1"/>
  <c r="N14" i="5" s="1"/>
  <c r="K79" i="5"/>
  <c r="P91" i="5"/>
  <c r="L94" i="5"/>
  <c r="O94" i="5" s="1"/>
  <c r="P140" i="5"/>
  <c r="L209" i="5"/>
  <c r="O209" i="5" s="1"/>
  <c r="L249" i="5"/>
  <c r="O249" i="5" s="1"/>
  <c r="O323" i="5"/>
  <c r="K338" i="5"/>
  <c r="P397" i="5"/>
  <c r="O449" i="5"/>
  <c r="K462" i="5"/>
  <c r="O124" i="5"/>
  <c r="L121" i="5"/>
  <c r="P133" i="5"/>
  <c r="M263" i="5"/>
  <c r="P269" i="5"/>
  <c r="K309" i="5"/>
  <c r="I297" i="5"/>
  <c r="K297" i="5" s="1"/>
  <c r="P403" i="5"/>
  <c r="P738" i="5"/>
  <c r="M737" i="5"/>
  <c r="P737" i="5" s="1"/>
  <c r="P46" i="3"/>
  <c r="J327" i="3"/>
  <c r="K327" i="3" s="1"/>
  <c r="N90" i="4"/>
  <c r="N88" i="4" s="1"/>
  <c r="M135" i="4"/>
  <c r="P135" i="4" s="1"/>
  <c r="K145" i="4"/>
  <c r="N280" i="4"/>
  <c r="M283" i="4"/>
  <c r="P283" i="4" s="1"/>
  <c r="M318" i="4"/>
  <c r="P318" i="4" s="1"/>
  <c r="L36" i="4"/>
  <c r="O36" i="4" s="1"/>
  <c r="K538" i="4"/>
  <c r="K700" i="4"/>
  <c r="O22" i="5"/>
  <c r="L19" i="5"/>
  <c r="L12" i="5"/>
  <c r="M34" i="5"/>
  <c r="P34" i="5" s="1"/>
  <c r="P58" i="5"/>
  <c r="L122" i="5"/>
  <c r="O122" i="5" s="1"/>
  <c r="P124" i="5"/>
  <c r="M121" i="5"/>
  <c r="P121" i="5" s="1"/>
  <c r="M267" i="5"/>
  <c r="P267" i="5" s="1"/>
  <c r="L280" i="5"/>
  <c r="O280" i="5" s="1"/>
  <c r="O282" i="5"/>
  <c r="M301" i="5"/>
  <c r="M300" i="5"/>
  <c r="P303" i="5"/>
  <c r="I559" i="5"/>
  <c r="K576" i="5"/>
  <c r="M134" i="2"/>
  <c r="P134" i="2" s="1"/>
  <c r="K385" i="2"/>
  <c r="N263" i="3"/>
  <c r="N261" i="3" s="1"/>
  <c r="P306" i="3"/>
  <c r="K537" i="3"/>
  <c r="K701" i="3"/>
  <c r="M43" i="4"/>
  <c r="M94" i="4"/>
  <c r="P94" i="4" s="1"/>
  <c r="L125" i="4"/>
  <c r="O125" i="4" s="1"/>
  <c r="L138" i="4"/>
  <c r="O138" i="4" s="1"/>
  <c r="M151" i="4"/>
  <c r="M149" i="4" s="1"/>
  <c r="M167" i="4"/>
  <c r="M165" i="4" s="1"/>
  <c r="P170" i="4"/>
  <c r="M187" i="4"/>
  <c r="P187" i="4" s="1"/>
  <c r="L231" i="4"/>
  <c r="K370" i="4"/>
  <c r="L533" i="4"/>
  <c r="O533" i="4" s="1"/>
  <c r="I559" i="4"/>
  <c r="K651" i="4"/>
  <c r="K701" i="4"/>
  <c r="K725" i="4"/>
  <c r="P22" i="5"/>
  <c r="M19" i="5"/>
  <c r="M12" i="5"/>
  <c r="M29" i="5"/>
  <c r="O42" i="5"/>
  <c r="M44" i="5"/>
  <c r="P44" i="5" s="1"/>
  <c r="P46" i="5"/>
  <c r="M72" i="5"/>
  <c r="P72" i="5" s="1"/>
  <c r="P74" i="5"/>
  <c r="M122" i="5"/>
  <c r="P122" i="5" s="1"/>
  <c r="N121" i="5"/>
  <c r="N119" i="5" s="1"/>
  <c r="K255" i="5"/>
  <c r="L279" i="5"/>
  <c r="P282" i="5"/>
  <c r="M279" i="5"/>
  <c r="M72" i="2"/>
  <c r="P72" i="2" s="1"/>
  <c r="M125" i="2"/>
  <c r="P125" i="2" s="1"/>
  <c r="L135" i="2"/>
  <c r="O135" i="2" s="1"/>
  <c r="P69" i="3"/>
  <c r="M94" i="3"/>
  <c r="P94" i="3" s="1"/>
  <c r="O140" i="3"/>
  <c r="L279" i="3"/>
  <c r="L277" i="3" s="1"/>
  <c r="M300" i="3"/>
  <c r="M298" i="3" s="1"/>
  <c r="L301" i="4"/>
  <c r="O301" i="4" s="1"/>
  <c r="L321" i="4"/>
  <c r="O321" i="4" s="1"/>
  <c r="L330" i="4"/>
  <c r="L328" i="4" s="1"/>
  <c r="K674" i="4"/>
  <c r="N19" i="5"/>
  <c r="N12" i="5"/>
  <c r="N28" i="5"/>
  <c r="O46" i="5"/>
  <c r="N43" i="5"/>
  <c r="I87" i="5"/>
  <c r="K87" i="5" s="1"/>
  <c r="P166" i="5"/>
  <c r="L184" i="5"/>
  <c r="O184" i="5" s="1"/>
  <c r="I233" i="5"/>
  <c r="K233" i="5" s="1"/>
  <c r="K309" i="2"/>
  <c r="P140" i="3"/>
  <c r="L429" i="3"/>
  <c r="O429" i="3" s="1"/>
  <c r="M23" i="4"/>
  <c r="M21" i="4" s="1"/>
  <c r="J143" i="4"/>
  <c r="J131" i="4" s="1"/>
  <c r="M152" i="4"/>
  <c r="O154" i="4"/>
  <c r="M171" i="4"/>
  <c r="P171" i="4" s="1"/>
  <c r="L228" i="4"/>
  <c r="M304" i="4"/>
  <c r="P304" i="4" s="1"/>
  <c r="M321" i="4"/>
  <c r="P321" i="4" s="1"/>
  <c r="L334" i="4"/>
  <c r="O334" i="4" s="1"/>
  <c r="J327" i="4"/>
  <c r="K327" i="4" s="1"/>
  <c r="M347" i="4"/>
  <c r="M345" i="4" s="1"/>
  <c r="K360" i="4"/>
  <c r="K379" i="4"/>
  <c r="L405" i="4"/>
  <c r="O405" i="4" s="1"/>
  <c r="I442" i="4"/>
  <c r="K442" i="4" s="1"/>
  <c r="O472" i="4"/>
  <c r="L525" i="4"/>
  <c r="O525" i="4" s="1"/>
  <c r="L15" i="5"/>
  <c r="M23" i="5"/>
  <c r="N34" i="5"/>
  <c r="O54" i="5"/>
  <c r="I112" i="5"/>
  <c r="K112" i="5" s="1"/>
  <c r="K115" i="5"/>
  <c r="N155" i="5"/>
  <c r="N165" i="5"/>
  <c r="K215" i="5"/>
  <c r="I208" i="5"/>
  <c r="K208" i="5" s="1"/>
  <c r="P262" i="5"/>
  <c r="O329" i="5"/>
  <c r="N419" i="5"/>
  <c r="N414" i="5" s="1"/>
  <c r="L134" i="3"/>
  <c r="O134" i="3" s="1"/>
  <c r="L47" i="4"/>
  <c r="O47" i="4" s="1"/>
  <c r="L121" i="4"/>
  <c r="O121" i="4" s="1"/>
  <c r="M134" i="4"/>
  <c r="P134" i="4" s="1"/>
  <c r="M263" i="4"/>
  <c r="M261" i="4" s="1"/>
  <c r="N279" i="4"/>
  <c r="N317" i="4"/>
  <c r="N315" i="4" s="1"/>
  <c r="K338" i="4"/>
  <c r="K369" i="4"/>
  <c r="K372" i="4"/>
  <c r="K385" i="4"/>
  <c r="K823" i="4"/>
  <c r="K826" i="4"/>
  <c r="M15" i="5"/>
  <c r="N23" i="5"/>
  <c r="N21" i="5" s="1"/>
  <c r="N47" i="5"/>
  <c r="M47" i="5"/>
  <c r="P47" i="5" s="1"/>
  <c r="P49" i="5"/>
  <c r="M26" i="5"/>
  <c r="I76" i="5"/>
  <c r="L23" i="5"/>
  <c r="L21" i="5" s="1"/>
  <c r="O93" i="5"/>
  <c r="O154" i="5"/>
  <c r="L151" i="5"/>
  <c r="N168" i="5"/>
  <c r="P170" i="5"/>
  <c r="L198" i="5"/>
  <c r="O198" i="5" s="1"/>
  <c r="P329" i="5"/>
  <c r="O285" i="5"/>
  <c r="P320" i="5"/>
  <c r="O447" i="5"/>
  <c r="M469" i="5"/>
  <c r="M470" i="5"/>
  <c r="P470" i="5" s="1"/>
  <c r="P472" i="5"/>
  <c r="M68" i="5"/>
  <c r="N90" i="5"/>
  <c r="J143" i="5"/>
  <c r="J131" i="5" s="1"/>
  <c r="N183" i="5"/>
  <c r="L317" i="5"/>
  <c r="O317" i="5" s="1"/>
  <c r="N331" i="5"/>
  <c r="P331" i="5" s="1"/>
  <c r="O353" i="5"/>
  <c r="J365" i="5"/>
  <c r="K372" i="5"/>
  <c r="L405" i="5"/>
  <c r="O405" i="5" s="1"/>
  <c r="O407" i="5"/>
  <c r="L404" i="5"/>
  <c r="K723" i="4"/>
  <c r="K822" i="4"/>
  <c r="K825" i="4"/>
  <c r="K828" i="4"/>
  <c r="O58" i="5"/>
  <c r="N68" i="5"/>
  <c r="P93" i="5"/>
  <c r="K98" i="5"/>
  <c r="K144" i="5"/>
  <c r="M151" i="5"/>
  <c r="P151" i="5" s="1"/>
  <c r="P186" i="5"/>
  <c r="I190" i="5"/>
  <c r="K190" i="5" s="1"/>
  <c r="I237" i="5"/>
  <c r="L263" i="5"/>
  <c r="N348" i="5"/>
  <c r="P348" i="5" s="1"/>
  <c r="P350" i="5"/>
  <c r="N347" i="5"/>
  <c r="K378" i="5"/>
  <c r="P390" i="5"/>
  <c r="L408" i="5"/>
  <c r="O408" i="5" s="1"/>
  <c r="O410" i="5"/>
  <c r="O303" i="5"/>
  <c r="K381" i="5"/>
  <c r="J374" i="5"/>
  <c r="K374" i="5" s="1"/>
  <c r="I628" i="5"/>
  <c r="K628" i="5" s="1"/>
  <c r="K651" i="5"/>
  <c r="P807" i="5"/>
  <c r="M805" i="5"/>
  <c r="P805" i="5" s="1"/>
  <c r="O333" i="5"/>
  <c r="O350" i="5"/>
  <c r="K355" i="5"/>
  <c r="K465" i="5"/>
  <c r="P503" i="5"/>
  <c r="M502" i="5"/>
  <c r="P502" i="5" s="1"/>
  <c r="L658" i="5"/>
  <c r="O658" i="5" s="1"/>
  <c r="O660" i="5"/>
  <c r="M660" i="5"/>
  <c r="P771" i="5"/>
  <c r="M770" i="5"/>
  <c r="P770" i="5" s="1"/>
  <c r="P788" i="5"/>
  <c r="M786" i="5"/>
  <c r="P786" i="5" s="1"/>
  <c r="I785" i="5"/>
  <c r="K785" i="5" s="1"/>
  <c r="K800" i="5"/>
  <c r="O806" i="5"/>
  <c r="L805" i="5"/>
  <c r="O805" i="5" s="1"/>
  <c r="O445" i="5"/>
  <c r="L547" i="5"/>
  <c r="O547" i="5" s="1"/>
  <c r="O549" i="5"/>
  <c r="M549" i="5"/>
  <c r="L555" i="5"/>
  <c r="O555" i="5" s="1"/>
  <c r="O557" i="5"/>
  <c r="P630" i="5"/>
  <c r="M629" i="5"/>
  <c r="P629" i="5" s="1"/>
  <c r="O657" i="5"/>
  <c r="L655" i="5"/>
  <c r="O655" i="5" s="1"/>
  <c r="O787" i="5"/>
  <c r="L546" i="5"/>
  <c r="P755" i="5"/>
  <c r="M754" i="5"/>
  <c r="P754" i="5" s="1"/>
  <c r="P351" i="5"/>
  <c r="K359" i="5"/>
  <c r="K370" i="5"/>
  <c r="P420" i="5"/>
  <c r="N422" i="5"/>
  <c r="O422" i="5" s="1"/>
  <c r="O424" i="5"/>
  <c r="P555" i="5"/>
  <c r="M545" i="5"/>
  <c r="P686" i="5"/>
  <c r="I442" i="5"/>
  <c r="K442" i="5" s="1"/>
  <c r="L526" i="5"/>
  <c r="O526" i="5" s="1"/>
  <c r="K675" i="5"/>
  <c r="O791" i="5"/>
  <c r="K672" i="5"/>
  <c r="L688" i="5"/>
  <c r="O688" i="5" s="1"/>
  <c r="M690" i="5"/>
  <c r="K539" i="5"/>
  <c r="L631" i="5"/>
  <c r="K669" i="5"/>
  <c r="K673" i="5"/>
  <c r="L687" i="5"/>
  <c r="I654" i="5"/>
  <c r="K654" i="5" s="1"/>
  <c r="N183" i="2"/>
  <c r="N181" i="2" s="1"/>
  <c r="N69" i="4"/>
  <c r="L72" i="4"/>
  <c r="O72" i="4" s="1"/>
  <c r="N94" i="4"/>
  <c r="M301" i="4"/>
  <c r="P301" i="4" s="1"/>
  <c r="N392" i="4"/>
  <c r="L395" i="4"/>
  <c r="O395" i="4" s="1"/>
  <c r="M408" i="4"/>
  <c r="P408" i="4" s="1"/>
  <c r="J433" i="4"/>
  <c r="J417" i="4" s="1"/>
  <c r="L447" i="4"/>
  <c r="O447" i="4" s="1"/>
  <c r="M660" i="4"/>
  <c r="P660" i="4" s="1"/>
  <c r="M263" i="2"/>
  <c r="M261" i="2" s="1"/>
  <c r="O660" i="2"/>
  <c r="L789" i="2"/>
  <c r="O789" i="2" s="1"/>
  <c r="O58" i="3"/>
  <c r="M167" i="3"/>
  <c r="M165" i="3" s="1"/>
  <c r="K204" i="3"/>
  <c r="L230" i="3"/>
  <c r="M318" i="3"/>
  <c r="P318" i="3" s="1"/>
  <c r="M321" i="3"/>
  <c r="P321" i="3" s="1"/>
  <c r="O348" i="3"/>
  <c r="M347" i="3"/>
  <c r="M345" i="3" s="1"/>
  <c r="L632" i="3"/>
  <c r="O632" i="3" s="1"/>
  <c r="L44" i="4"/>
  <c r="O44" i="4" s="1"/>
  <c r="P46" i="4"/>
  <c r="M56" i="4"/>
  <c r="M72" i="4"/>
  <c r="P72" i="4" s="1"/>
  <c r="L122" i="4"/>
  <c r="O122" i="4" s="1"/>
  <c r="L135" i="4"/>
  <c r="O135" i="4" s="1"/>
  <c r="L151" i="4"/>
  <c r="M168" i="4"/>
  <c r="P168" i="4" s="1"/>
  <c r="N183" i="4"/>
  <c r="P186" i="4"/>
  <c r="L183" i="4"/>
  <c r="L181" i="4" s="1"/>
  <c r="K244" i="4"/>
  <c r="O266" i="4"/>
  <c r="O285" i="4"/>
  <c r="I297" i="4"/>
  <c r="K297" i="4" s="1"/>
  <c r="P303" i="4"/>
  <c r="L317" i="4"/>
  <c r="M330" i="4"/>
  <c r="M328" i="4" s="1"/>
  <c r="O333" i="4"/>
  <c r="N347" i="4"/>
  <c r="N345" i="4" s="1"/>
  <c r="P348" i="4"/>
  <c r="O353" i="4"/>
  <c r="K359" i="4"/>
  <c r="K362" i="4"/>
  <c r="M404" i="4"/>
  <c r="P404" i="4" s="1"/>
  <c r="L429" i="4"/>
  <c r="O429" i="4" s="1"/>
  <c r="O431" i="4"/>
  <c r="L469" i="4"/>
  <c r="I654" i="4"/>
  <c r="K654" i="4" s="1"/>
  <c r="M55" i="4"/>
  <c r="M53" i="4" s="1"/>
  <c r="O91" i="2"/>
  <c r="M404" i="2"/>
  <c r="P404" i="2" s="1"/>
  <c r="M408" i="2"/>
  <c r="P408" i="2" s="1"/>
  <c r="L547" i="2"/>
  <c r="O547" i="2" s="1"/>
  <c r="L658" i="2"/>
  <c r="O658" i="2" s="1"/>
  <c r="K224" i="3"/>
  <c r="L392" i="3"/>
  <c r="O392" i="3" s="1"/>
  <c r="L395" i="3"/>
  <c r="O395" i="3" s="1"/>
  <c r="K628" i="3"/>
  <c r="P44" i="4"/>
  <c r="L68" i="4"/>
  <c r="M90" i="4"/>
  <c r="L90" i="4"/>
  <c r="O124" i="4"/>
  <c r="P184" i="4"/>
  <c r="I275" i="4"/>
  <c r="K275" i="4" s="1"/>
  <c r="P282" i="4"/>
  <c r="L300" i="4"/>
  <c r="M317" i="4"/>
  <c r="N330" i="4"/>
  <c r="N328" i="4" s="1"/>
  <c r="P331" i="4"/>
  <c r="K340" i="4"/>
  <c r="L348" i="4"/>
  <c r="O348" i="4" s="1"/>
  <c r="P351" i="4"/>
  <c r="K355" i="4"/>
  <c r="K365" i="4"/>
  <c r="K378" i="4"/>
  <c r="K381" i="4"/>
  <c r="L391" i="4"/>
  <c r="O391" i="4" s="1"/>
  <c r="L421" i="4"/>
  <c r="O421" i="4" s="1"/>
  <c r="L454" i="4"/>
  <c r="O454" i="4" s="1"/>
  <c r="I628" i="4"/>
  <c r="K628" i="4" s="1"/>
  <c r="L631" i="4"/>
  <c r="L629" i="4" s="1"/>
  <c r="L639" i="4"/>
  <c r="O639" i="4" s="1"/>
  <c r="O690" i="4"/>
  <c r="M264" i="2"/>
  <c r="L280" i="2"/>
  <c r="K370" i="2"/>
  <c r="N26" i="3"/>
  <c r="N16" i="3" s="1"/>
  <c r="N14" i="3" s="1"/>
  <c r="L55" i="3"/>
  <c r="L53" i="3" s="1"/>
  <c r="O71" i="3"/>
  <c r="L217" i="3"/>
  <c r="O217" i="3" s="1"/>
  <c r="M26" i="4"/>
  <c r="M24" i="4" s="1"/>
  <c r="M68" i="4"/>
  <c r="P68" i="4" s="1"/>
  <c r="P124" i="4"/>
  <c r="I233" i="4"/>
  <c r="K233" i="4" s="1"/>
  <c r="O331" i="4"/>
  <c r="O351" i="4"/>
  <c r="M391" i="4"/>
  <c r="P391" i="4" s="1"/>
  <c r="I433" i="4"/>
  <c r="I417" i="4" s="1"/>
  <c r="L446" i="4"/>
  <c r="O446" i="4" s="1"/>
  <c r="L632" i="4"/>
  <c r="O632" i="4" s="1"/>
  <c r="L43" i="2"/>
  <c r="M135" i="2"/>
  <c r="P135" i="2" s="1"/>
  <c r="K725" i="2"/>
  <c r="J722" i="2"/>
  <c r="K722" i="2" s="1"/>
  <c r="K822" i="2"/>
  <c r="K825" i="2"/>
  <c r="K828" i="2"/>
  <c r="M47" i="3"/>
  <c r="P47" i="3" s="1"/>
  <c r="M55" i="3"/>
  <c r="M53" i="3" s="1"/>
  <c r="P71" i="3"/>
  <c r="I260" i="3"/>
  <c r="K260" i="3" s="1"/>
  <c r="M263" i="3"/>
  <c r="N330" i="3"/>
  <c r="N328" i="3" s="1"/>
  <c r="K338" i="3"/>
  <c r="I364" i="3"/>
  <c r="K649" i="3"/>
  <c r="L33" i="4"/>
  <c r="L43" i="4"/>
  <c r="M47" i="4"/>
  <c r="P47" i="4" s="1"/>
  <c r="M91" i="4"/>
  <c r="P91" i="4" s="1"/>
  <c r="I112" i="4"/>
  <c r="K112" i="4" s="1"/>
  <c r="M121" i="4"/>
  <c r="P121" i="4" s="1"/>
  <c r="L134" i="4"/>
  <c r="O134" i="4" s="1"/>
  <c r="M138" i="4"/>
  <c r="P138" i="4" s="1"/>
  <c r="I190" i="4"/>
  <c r="K190" i="4" s="1"/>
  <c r="L209" i="4"/>
  <c r="O209" i="4" s="1"/>
  <c r="I216" i="4"/>
  <c r="K216" i="4" s="1"/>
  <c r="L217" i="4"/>
  <c r="O217" i="4" s="1"/>
  <c r="L230" i="4"/>
  <c r="L267" i="4"/>
  <c r="O267" i="4" s="1"/>
  <c r="K374" i="4"/>
  <c r="M405" i="4"/>
  <c r="P405" i="4" s="1"/>
  <c r="N56" i="4"/>
  <c r="P58" i="4"/>
  <c r="O58" i="4"/>
  <c r="N23" i="4"/>
  <c r="L94" i="4"/>
  <c r="O94" i="4" s="1"/>
  <c r="O96" i="4"/>
  <c r="L26" i="4"/>
  <c r="L24" i="4" s="1"/>
  <c r="N152" i="4"/>
  <c r="P154" i="4"/>
  <c r="N43" i="2"/>
  <c r="N41" i="2" s="1"/>
  <c r="I112" i="2"/>
  <c r="K112" i="2" s="1"/>
  <c r="M151" i="2"/>
  <c r="M149" i="2" s="1"/>
  <c r="P152" i="2"/>
  <c r="N167" i="2"/>
  <c r="N165" i="2" s="1"/>
  <c r="J364" i="2"/>
  <c r="N72" i="3"/>
  <c r="M121" i="3"/>
  <c r="P121" i="3" s="1"/>
  <c r="L167" i="3"/>
  <c r="L165" i="3" s="1"/>
  <c r="K255" i="3"/>
  <c r="I164" i="4"/>
  <c r="K164" i="4" s="1"/>
  <c r="K174" i="4"/>
  <c r="P262" i="4"/>
  <c r="N44" i="2"/>
  <c r="P44" i="2" s="1"/>
  <c r="M155" i="2"/>
  <c r="P155" i="2" s="1"/>
  <c r="L56" i="3"/>
  <c r="M125" i="3"/>
  <c r="P125" i="3" s="1"/>
  <c r="M168" i="3"/>
  <c r="P168" i="3" s="1"/>
  <c r="P170" i="3"/>
  <c r="P410" i="3"/>
  <c r="M408" i="3"/>
  <c r="P408" i="3" s="1"/>
  <c r="O35" i="4"/>
  <c r="N121" i="4"/>
  <c r="N119" i="4" s="1"/>
  <c r="L168" i="4"/>
  <c r="O168" i="4" s="1"/>
  <c r="O170" i="4"/>
  <c r="L198" i="4"/>
  <c r="O198" i="4" s="1"/>
  <c r="N264" i="4"/>
  <c r="O264" i="4" s="1"/>
  <c r="P266" i="4"/>
  <c r="K355" i="2"/>
  <c r="O46" i="3"/>
  <c r="N56" i="3"/>
  <c r="P56" i="3" s="1"/>
  <c r="O61" i="3"/>
  <c r="L90" i="3"/>
  <c r="L88" i="3" s="1"/>
  <c r="I130" i="3"/>
  <c r="K130" i="3" s="1"/>
  <c r="M171" i="3"/>
  <c r="P171" i="3" s="1"/>
  <c r="L209" i="3"/>
  <c r="O209" i="3" s="1"/>
  <c r="P407" i="3"/>
  <c r="M404" i="3"/>
  <c r="P404" i="3" s="1"/>
  <c r="O22" i="4"/>
  <c r="L19" i="4"/>
  <c r="L12" i="4"/>
  <c r="N59" i="4"/>
  <c r="N26" i="4"/>
  <c r="I76" i="4"/>
  <c r="I77" i="4"/>
  <c r="K81" i="4"/>
  <c r="P120" i="4"/>
  <c r="I131" i="4"/>
  <c r="K131" i="4" s="1"/>
  <c r="N151" i="4"/>
  <c r="L171" i="4"/>
  <c r="O171" i="4" s="1"/>
  <c r="O173" i="4"/>
  <c r="L94" i="2"/>
  <c r="O94" i="2" s="1"/>
  <c r="K369" i="2"/>
  <c r="K372" i="2"/>
  <c r="M91" i="3"/>
  <c r="P91" i="3" s="1"/>
  <c r="P93" i="3"/>
  <c r="K99" i="3"/>
  <c r="L135" i="3"/>
  <c r="O135" i="3" s="1"/>
  <c r="K145" i="3"/>
  <c r="L283" i="3"/>
  <c r="O283" i="3" s="1"/>
  <c r="O285" i="3"/>
  <c r="O29" i="4"/>
  <c r="N55" i="4"/>
  <c r="P150" i="4"/>
  <c r="L184" i="4"/>
  <c r="O184" i="4" s="1"/>
  <c r="O186" i="4"/>
  <c r="N300" i="4"/>
  <c r="N298" i="4" s="1"/>
  <c r="I248" i="2"/>
  <c r="K248" i="2" s="1"/>
  <c r="K381" i="2"/>
  <c r="K821" i="2"/>
  <c r="K824" i="2"/>
  <c r="K827" i="2"/>
  <c r="O168" i="3"/>
  <c r="O641" i="3"/>
  <c r="L639" i="3"/>
  <c r="O639" i="3" s="1"/>
  <c r="O15" i="4"/>
  <c r="P54" i="4"/>
  <c r="L91" i="4"/>
  <c r="O91" i="4" s="1"/>
  <c r="L23" i="4"/>
  <c r="L21" i="4" s="1"/>
  <c r="O93" i="4"/>
  <c r="L187" i="4"/>
  <c r="O187" i="4" s="1"/>
  <c r="O189" i="4"/>
  <c r="P299" i="4"/>
  <c r="L347" i="3"/>
  <c r="L345" i="3" s="1"/>
  <c r="P32" i="4"/>
  <c r="M69" i="4"/>
  <c r="P69" i="4" s="1"/>
  <c r="O278" i="4"/>
  <c r="N629" i="4"/>
  <c r="P634" i="4"/>
  <c r="M631" i="4"/>
  <c r="M632" i="4"/>
  <c r="P632" i="4" s="1"/>
  <c r="O687" i="4"/>
  <c r="L685" i="4"/>
  <c r="O685" i="4" s="1"/>
  <c r="K435" i="3"/>
  <c r="K647" i="3"/>
  <c r="M34" i="4"/>
  <c r="P34" i="4" s="1"/>
  <c r="M469" i="4"/>
  <c r="M470" i="4"/>
  <c r="P470" i="4" s="1"/>
  <c r="P472" i="4"/>
  <c r="O634" i="4"/>
  <c r="N631" i="4"/>
  <c r="N632" i="4"/>
  <c r="L525" i="3"/>
  <c r="O525" i="3" s="1"/>
  <c r="O660" i="3"/>
  <c r="K176" i="4"/>
  <c r="P549" i="4"/>
  <c r="M546" i="4"/>
  <c r="P546" i="4" s="1"/>
  <c r="M547" i="4"/>
  <c r="P547" i="4" s="1"/>
  <c r="K593" i="4"/>
  <c r="J592" i="4"/>
  <c r="K592" i="4" s="1"/>
  <c r="K378" i="3"/>
  <c r="L446" i="3"/>
  <c r="O446" i="3" s="1"/>
  <c r="N523" i="4"/>
  <c r="N414" i="4" s="1"/>
  <c r="O549" i="4"/>
  <c r="N546" i="4"/>
  <c r="N544" i="4" s="1"/>
  <c r="N547" i="4"/>
  <c r="P301" i="3"/>
  <c r="P320" i="3"/>
  <c r="N331" i="3"/>
  <c r="O331" i="3" s="1"/>
  <c r="I434" i="4"/>
  <c r="K437" i="4"/>
  <c r="L502" i="4"/>
  <c r="O502" i="4" s="1"/>
  <c r="O524" i="4"/>
  <c r="L546" i="4"/>
  <c r="K675" i="4"/>
  <c r="M737" i="4"/>
  <c r="P737" i="4" s="1"/>
  <c r="M754" i="4"/>
  <c r="P754" i="4" s="1"/>
  <c r="M770" i="4"/>
  <c r="P770" i="4" s="1"/>
  <c r="L786" i="4"/>
  <c r="O786" i="4" s="1"/>
  <c r="O791" i="4"/>
  <c r="L805" i="4"/>
  <c r="O805" i="4" s="1"/>
  <c r="O424" i="4"/>
  <c r="L470" i="4"/>
  <c r="O470" i="4" s="1"/>
  <c r="M502" i="4"/>
  <c r="P502" i="4" s="1"/>
  <c r="L526" i="4"/>
  <c r="O526" i="4" s="1"/>
  <c r="L555" i="4"/>
  <c r="O555" i="4" s="1"/>
  <c r="O660" i="4"/>
  <c r="M786" i="4"/>
  <c r="P786" i="4" s="1"/>
  <c r="K800" i="4"/>
  <c r="M805" i="4"/>
  <c r="P805" i="4" s="1"/>
  <c r="P333" i="4"/>
  <c r="P336" i="4"/>
  <c r="P350" i="4"/>
  <c r="P353" i="4"/>
  <c r="P394" i="4"/>
  <c r="P397" i="4"/>
  <c r="K672" i="4"/>
  <c r="L688" i="4"/>
  <c r="O688" i="4" s="1"/>
  <c r="M690" i="4"/>
  <c r="K669" i="4"/>
  <c r="K190" i="2"/>
  <c r="N68" i="2"/>
  <c r="N66" i="2" s="1"/>
  <c r="L229" i="2"/>
  <c r="M300" i="2"/>
  <c r="M298" i="2" s="1"/>
  <c r="P298" i="2" s="1"/>
  <c r="N317" i="2"/>
  <c r="N315" i="2" s="1"/>
  <c r="N330" i="2"/>
  <c r="N328" i="2" s="1"/>
  <c r="M391" i="2"/>
  <c r="P391" i="2" s="1"/>
  <c r="N59" i="3"/>
  <c r="P59" i="3" s="1"/>
  <c r="K159" i="3"/>
  <c r="K215" i="3"/>
  <c r="L231" i="3"/>
  <c r="P333" i="3"/>
  <c r="P348" i="3"/>
  <c r="L351" i="3"/>
  <c r="O351" i="3" s="1"/>
  <c r="M392" i="3"/>
  <c r="P392" i="3" s="1"/>
  <c r="I233" i="2"/>
  <c r="K233" i="2" s="1"/>
  <c r="N280" i="2"/>
  <c r="P280" i="2" s="1"/>
  <c r="I314" i="2"/>
  <c r="K314" i="2" s="1"/>
  <c r="N391" i="2"/>
  <c r="N389" i="2" s="1"/>
  <c r="L33" i="2"/>
  <c r="L31" i="2" s="1"/>
  <c r="L23" i="3"/>
  <c r="L21" i="3" s="1"/>
  <c r="L33" i="3"/>
  <c r="L31" i="3" s="1"/>
  <c r="O31" i="3" s="1"/>
  <c r="L43" i="3"/>
  <c r="L68" i="3"/>
  <c r="L72" i="3"/>
  <c r="O72" i="3" s="1"/>
  <c r="N135" i="3"/>
  <c r="O137" i="3"/>
  <c r="N264" i="3"/>
  <c r="P264" i="3" s="1"/>
  <c r="M267" i="3"/>
  <c r="P267" i="3" s="1"/>
  <c r="N300" i="3"/>
  <c r="N298" i="3" s="1"/>
  <c r="L321" i="3"/>
  <c r="O321" i="3" s="1"/>
  <c r="M334" i="3"/>
  <c r="P334" i="3" s="1"/>
  <c r="M351" i="3"/>
  <c r="P351" i="3" s="1"/>
  <c r="K379" i="3"/>
  <c r="L391" i="3"/>
  <c r="P394" i="3"/>
  <c r="M449" i="3"/>
  <c r="M446" i="3" s="1"/>
  <c r="P446" i="3" s="1"/>
  <c r="L470" i="3"/>
  <c r="O470" i="3" s="1"/>
  <c r="O472" i="3"/>
  <c r="J721" i="3"/>
  <c r="K721" i="3" s="1"/>
  <c r="L789" i="3"/>
  <c r="O789" i="3" s="1"/>
  <c r="L392" i="2"/>
  <c r="O392" i="2" s="1"/>
  <c r="I443" i="2"/>
  <c r="K443" i="2" s="1"/>
  <c r="N90" i="3"/>
  <c r="N88" i="3" s="1"/>
  <c r="P137" i="3"/>
  <c r="N167" i="3"/>
  <c r="N165" i="3" s="1"/>
  <c r="L198" i="3"/>
  <c r="O198" i="3" s="1"/>
  <c r="K216" i="3"/>
  <c r="O282" i="3"/>
  <c r="P303" i="3"/>
  <c r="N317" i="3"/>
  <c r="N315" i="3" s="1"/>
  <c r="P353" i="3"/>
  <c r="K374" i="3"/>
  <c r="J433" i="3"/>
  <c r="K433" i="3" s="1"/>
  <c r="L447" i="3"/>
  <c r="O447" i="3" s="1"/>
  <c r="I654" i="3"/>
  <c r="K654" i="3" s="1"/>
  <c r="P93" i="2"/>
  <c r="K193" i="2"/>
  <c r="L447" i="2"/>
  <c r="O447" i="2" s="1"/>
  <c r="L36" i="3"/>
  <c r="O36" i="3" s="1"/>
  <c r="N43" i="3"/>
  <c r="N41" i="3" s="1"/>
  <c r="M23" i="3"/>
  <c r="M21" i="3" s="1"/>
  <c r="P74" i="3"/>
  <c r="M88" i="3"/>
  <c r="M122" i="3"/>
  <c r="P122" i="3" s="1"/>
  <c r="N121" i="3"/>
  <c r="N119" i="3" s="1"/>
  <c r="M152" i="3"/>
  <c r="P152" i="3" s="1"/>
  <c r="N151" i="3"/>
  <c r="N149" i="3" s="1"/>
  <c r="M183" i="3"/>
  <c r="M181" i="3" s="1"/>
  <c r="L238" i="3"/>
  <c r="O238" i="3" s="1"/>
  <c r="N280" i="3"/>
  <c r="O280" i="3" s="1"/>
  <c r="O350" i="3"/>
  <c r="K355" i="3"/>
  <c r="K360" i="3"/>
  <c r="N391" i="3"/>
  <c r="N389" i="3" s="1"/>
  <c r="M395" i="3"/>
  <c r="P395" i="3" s="1"/>
  <c r="O449" i="3"/>
  <c r="J537" i="3"/>
  <c r="J522" i="3" s="1"/>
  <c r="L631" i="3"/>
  <c r="K725" i="3"/>
  <c r="K822" i="3"/>
  <c r="K825" i="3"/>
  <c r="K828" i="3"/>
  <c r="P46" i="2"/>
  <c r="P170" i="2"/>
  <c r="P320" i="2"/>
  <c r="P331" i="2"/>
  <c r="O353" i="2"/>
  <c r="K359" i="2"/>
  <c r="K823" i="2"/>
  <c r="K826" i="2"/>
  <c r="L187" i="3"/>
  <c r="O187" i="3" s="1"/>
  <c r="L263" i="3"/>
  <c r="K340" i="3"/>
  <c r="M389" i="3"/>
  <c r="P389" i="3" s="1"/>
  <c r="M405" i="3"/>
  <c r="P405" i="3" s="1"/>
  <c r="L421" i="3"/>
  <c r="L419" i="3" s="1"/>
  <c r="O419" i="3" s="1"/>
  <c r="L469" i="3"/>
  <c r="O469" i="3" s="1"/>
  <c r="L788" i="3"/>
  <c r="O788" i="3" s="1"/>
  <c r="N9" i="3"/>
  <c r="P44" i="3"/>
  <c r="K143" i="3"/>
  <c r="I131" i="3"/>
  <c r="K131" i="3" s="1"/>
  <c r="I785" i="3"/>
  <c r="K785" i="3" s="1"/>
  <c r="K800" i="3"/>
  <c r="O806" i="3"/>
  <c r="L805" i="3"/>
  <c r="O805" i="3" s="1"/>
  <c r="O58" i="2"/>
  <c r="I143" i="2"/>
  <c r="I148" i="2"/>
  <c r="K148" i="2" s="1"/>
  <c r="L151" i="2"/>
  <c r="L149" i="2" s="1"/>
  <c r="N184" i="2"/>
  <c r="P184" i="2" s="1"/>
  <c r="L230" i="2"/>
  <c r="M301" i="2"/>
  <c r="P301" i="2" s="1"/>
  <c r="M330" i="2"/>
  <c r="J327" i="2"/>
  <c r="K327" i="2" s="1"/>
  <c r="N392" i="2"/>
  <c r="K700" i="2"/>
  <c r="L9" i="3"/>
  <c r="O12" i="3"/>
  <c r="L15" i="3"/>
  <c r="O19" i="3"/>
  <c r="O25" i="3"/>
  <c r="L29" i="3"/>
  <c r="N31" i="3"/>
  <c r="O32" i="3"/>
  <c r="P42" i="3"/>
  <c r="L44" i="3"/>
  <c r="O44" i="3" s="1"/>
  <c r="L47" i="3"/>
  <c r="O47" i="3" s="1"/>
  <c r="M68" i="3"/>
  <c r="I76" i="3"/>
  <c r="K79" i="3"/>
  <c r="I77" i="3"/>
  <c r="O93" i="3"/>
  <c r="K100" i="3"/>
  <c r="I112" i="3"/>
  <c r="K112" i="3" s="1"/>
  <c r="K115" i="3"/>
  <c r="J143" i="3"/>
  <c r="J131" i="3" s="1"/>
  <c r="O170" i="3"/>
  <c r="N183" i="3"/>
  <c r="L228" i="3"/>
  <c r="P266" i="3"/>
  <c r="O269" i="3"/>
  <c r="L267" i="3"/>
  <c r="O267" i="3" s="1"/>
  <c r="P285" i="3"/>
  <c r="M283" i="3"/>
  <c r="P283" i="3" s="1"/>
  <c r="O303" i="3"/>
  <c r="L301" i="3"/>
  <c r="O301" i="3" s="1"/>
  <c r="O336" i="3"/>
  <c r="L334" i="3"/>
  <c r="O334" i="3" s="1"/>
  <c r="L547" i="3"/>
  <c r="O547" i="3" s="1"/>
  <c r="O549" i="3"/>
  <c r="M549" i="3"/>
  <c r="L546" i="3"/>
  <c r="L555" i="3"/>
  <c r="O555" i="3" s="1"/>
  <c r="O557" i="3"/>
  <c r="P630" i="3"/>
  <c r="O787" i="3"/>
  <c r="I276" i="2"/>
  <c r="K276" i="2" s="1"/>
  <c r="P333" i="2"/>
  <c r="J537" i="2"/>
  <c r="J522" i="2" s="1"/>
  <c r="N23" i="3"/>
  <c r="P120" i="3"/>
  <c r="O124" i="3"/>
  <c r="L122" i="3"/>
  <c r="O122" i="3" s="1"/>
  <c r="P150" i="3"/>
  <c r="O154" i="3"/>
  <c r="L152" i="3"/>
  <c r="O152" i="3" s="1"/>
  <c r="I174" i="3"/>
  <c r="O186" i="3"/>
  <c r="L249" i="3"/>
  <c r="O249" i="3" s="1"/>
  <c r="I314" i="3"/>
  <c r="K314" i="3" s="1"/>
  <c r="L55" i="2"/>
  <c r="J143" i="2"/>
  <c r="J131" i="2" s="1"/>
  <c r="M167" i="2"/>
  <c r="L334" i="2"/>
  <c r="O334" i="2" s="1"/>
  <c r="K338" i="2"/>
  <c r="L470" i="2"/>
  <c r="K701" i="2"/>
  <c r="L26" i="3"/>
  <c r="M34" i="3"/>
  <c r="P34" i="3" s="1"/>
  <c r="N47" i="3"/>
  <c r="P58" i="3"/>
  <c r="P61" i="3"/>
  <c r="I86" i="3"/>
  <c r="K86" i="3" s="1"/>
  <c r="P89" i="3"/>
  <c r="P166" i="3"/>
  <c r="L184" i="3"/>
  <c r="O184" i="3" s="1"/>
  <c r="K190" i="3"/>
  <c r="L229" i="3"/>
  <c r="I276" i="3"/>
  <c r="K276" i="3" s="1"/>
  <c r="N279" i="3"/>
  <c r="O306" i="3"/>
  <c r="L304" i="3"/>
  <c r="O304" i="3" s="1"/>
  <c r="M26" i="2"/>
  <c r="M16" i="2" s="1"/>
  <c r="L59" i="2"/>
  <c r="O59" i="2" s="1"/>
  <c r="M26" i="3"/>
  <c r="K244" i="3"/>
  <c r="I237" i="3"/>
  <c r="P262" i="3"/>
  <c r="O266" i="3"/>
  <c r="L264" i="3"/>
  <c r="J365" i="3"/>
  <c r="K372" i="3"/>
  <c r="N59" i="2"/>
  <c r="N134" i="2"/>
  <c r="N132" i="2" s="1"/>
  <c r="N168" i="2"/>
  <c r="P168" i="2" s="1"/>
  <c r="P186" i="2"/>
  <c r="L217" i="2"/>
  <c r="O217" i="2" s="1"/>
  <c r="L228" i="2"/>
  <c r="P282" i="2"/>
  <c r="O333" i="2"/>
  <c r="N347" i="2"/>
  <c r="N345" i="2" s="1"/>
  <c r="I433" i="2"/>
  <c r="I417" i="2" s="1"/>
  <c r="L446" i="2"/>
  <c r="L444" i="2" s="1"/>
  <c r="O456" i="2"/>
  <c r="I592" i="2"/>
  <c r="K592" i="2" s="1"/>
  <c r="M12" i="3"/>
  <c r="M19" i="3"/>
  <c r="O69" i="3"/>
  <c r="L94" i="3"/>
  <c r="O94" i="3" s="1"/>
  <c r="L121" i="3"/>
  <c r="O127" i="3"/>
  <c r="L125" i="3"/>
  <c r="O125" i="3" s="1"/>
  <c r="M134" i="3"/>
  <c r="L151" i="3"/>
  <c r="O157" i="3"/>
  <c r="L155" i="3"/>
  <c r="O155" i="3" s="1"/>
  <c r="L171" i="3"/>
  <c r="O171" i="3" s="1"/>
  <c r="L183" i="3"/>
  <c r="P186" i="3"/>
  <c r="P282" i="3"/>
  <c r="M280" i="3"/>
  <c r="K288" i="3"/>
  <c r="L300" i="3"/>
  <c r="P316" i="3"/>
  <c r="P299" i="3"/>
  <c r="N347" i="3"/>
  <c r="K359" i="3"/>
  <c r="K370" i="3"/>
  <c r="P390" i="3"/>
  <c r="N404" i="3"/>
  <c r="N402" i="3" s="1"/>
  <c r="L405" i="3"/>
  <c r="O405" i="3" s="1"/>
  <c r="O407" i="3"/>
  <c r="O445" i="3"/>
  <c r="P403" i="3"/>
  <c r="N414" i="3"/>
  <c r="M421" i="3"/>
  <c r="P421" i="3" s="1"/>
  <c r="M422" i="3"/>
  <c r="P422" i="3" s="1"/>
  <c r="M469" i="3"/>
  <c r="M470" i="3"/>
  <c r="P470" i="3" s="1"/>
  <c r="P472" i="3"/>
  <c r="P503" i="3"/>
  <c r="M502" i="3"/>
  <c r="P502" i="3" s="1"/>
  <c r="P555" i="3"/>
  <c r="M545" i="3"/>
  <c r="P755" i="3"/>
  <c r="M754" i="3"/>
  <c r="P754" i="3" s="1"/>
  <c r="L408" i="3"/>
  <c r="O408" i="3" s="1"/>
  <c r="O410" i="3"/>
  <c r="M631" i="3"/>
  <c r="P631" i="3" s="1"/>
  <c r="M632" i="3"/>
  <c r="P632" i="3" s="1"/>
  <c r="P634" i="3"/>
  <c r="N789" i="3"/>
  <c r="K381" i="3"/>
  <c r="P420" i="3"/>
  <c r="P424" i="3"/>
  <c r="I559" i="3"/>
  <c r="K576" i="3"/>
  <c r="P686" i="3"/>
  <c r="O333" i="3"/>
  <c r="P350" i="3"/>
  <c r="O353" i="3"/>
  <c r="K369" i="3"/>
  <c r="L404" i="3"/>
  <c r="J592" i="3"/>
  <c r="K592" i="3" s="1"/>
  <c r="K593" i="3"/>
  <c r="K723" i="3"/>
  <c r="P738" i="3"/>
  <c r="M737" i="3"/>
  <c r="P737" i="3" s="1"/>
  <c r="P771" i="3"/>
  <c r="M770" i="3"/>
  <c r="P770" i="3" s="1"/>
  <c r="P788" i="3"/>
  <c r="M786" i="3"/>
  <c r="P786" i="3" s="1"/>
  <c r="P807" i="3"/>
  <c r="M805" i="3"/>
  <c r="P805" i="3" s="1"/>
  <c r="O424" i="3"/>
  <c r="I442" i="3"/>
  <c r="K442" i="3" s="1"/>
  <c r="O468" i="3"/>
  <c r="P524" i="3"/>
  <c r="L526" i="3"/>
  <c r="O526" i="3" s="1"/>
  <c r="O634" i="3"/>
  <c r="K675" i="3"/>
  <c r="K651" i="3"/>
  <c r="L655" i="3"/>
  <c r="O655" i="3" s="1"/>
  <c r="K672" i="3"/>
  <c r="L688" i="3"/>
  <c r="O688" i="3" s="1"/>
  <c r="M690" i="3"/>
  <c r="I434" i="3"/>
  <c r="K669" i="3"/>
  <c r="K673" i="3"/>
  <c r="L687" i="3"/>
  <c r="M47" i="2"/>
  <c r="P47" i="2" s="1"/>
  <c r="M55" i="2"/>
  <c r="M90" i="2"/>
  <c r="M88" i="2" s="1"/>
  <c r="M94" i="2"/>
  <c r="P94" i="2" s="1"/>
  <c r="N26" i="2"/>
  <c r="N16" i="2" s="1"/>
  <c r="N14" i="2" s="1"/>
  <c r="K100" i="2"/>
  <c r="M122" i="2"/>
  <c r="P122" i="2" s="1"/>
  <c r="L138" i="2"/>
  <c r="O138" i="2" s="1"/>
  <c r="K144" i="2"/>
  <c r="M171" i="2"/>
  <c r="P171" i="2" s="1"/>
  <c r="M267" i="2"/>
  <c r="P267" i="2" s="1"/>
  <c r="M334" i="2"/>
  <c r="P334" i="2" s="1"/>
  <c r="M424" i="2"/>
  <c r="M421" i="2" s="1"/>
  <c r="P421" i="2" s="1"/>
  <c r="O557" i="2"/>
  <c r="K594" i="2"/>
  <c r="M317" i="2"/>
  <c r="M43" i="2"/>
  <c r="P49" i="2"/>
  <c r="M69" i="2"/>
  <c r="P69" i="2" s="1"/>
  <c r="O93" i="2"/>
  <c r="N94" i="2"/>
  <c r="O124" i="2"/>
  <c r="M138" i="2"/>
  <c r="P138" i="2" s="1"/>
  <c r="P173" i="2"/>
  <c r="L238" i="2"/>
  <c r="O238" i="2" s="1"/>
  <c r="L231" i="2"/>
  <c r="O269" i="2"/>
  <c r="L279" i="2"/>
  <c r="L283" i="2"/>
  <c r="O283" i="2" s="1"/>
  <c r="O303" i="2"/>
  <c r="P323" i="2"/>
  <c r="L347" i="2"/>
  <c r="L345" i="2" s="1"/>
  <c r="L351" i="2"/>
  <c r="O351" i="2" s="1"/>
  <c r="L395" i="2"/>
  <c r="O395" i="2" s="1"/>
  <c r="K651" i="2"/>
  <c r="O46" i="2"/>
  <c r="P56" i="2"/>
  <c r="P71" i="2"/>
  <c r="P91" i="2"/>
  <c r="P124" i="2"/>
  <c r="L134" i="2"/>
  <c r="O134" i="2" s="1"/>
  <c r="L209" i="2"/>
  <c r="O209" i="2" s="1"/>
  <c r="K215" i="2"/>
  <c r="L300" i="2"/>
  <c r="L298" i="2" s="1"/>
  <c r="O298" i="2" s="1"/>
  <c r="P303" i="2"/>
  <c r="L331" i="2"/>
  <c r="O331" i="2" s="1"/>
  <c r="K374" i="2"/>
  <c r="L391" i="2"/>
  <c r="N404" i="2"/>
  <c r="N402" i="2" s="1"/>
  <c r="O422" i="2"/>
  <c r="I559" i="2"/>
  <c r="K621" i="2"/>
  <c r="L631" i="2"/>
  <c r="L629" i="2" s="1"/>
  <c r="L639" i="2"/>
  <c r="O639" i="2" s="1"/>
  <c r="K649" i="2"/>
  <c r="L36" i="2"/>
  <c r="M23" i="2"/>
  <c r="L56" i="2"/>
  <c r="O56" i="2" s="1"/>
  <c r="L68" i="2"/>
  <c r="O68" i="2" s="1"/>
  <c r="L198" i="2"/>
  <c r="O198" i="2" s="1"/>
  <c r="M304" i="2"/>
  <c r="P304" i="2" s="1"/>
  <c r="K379" i="2"/>
  <c r="M405" i="2"/>
  <c r="P405" i="2" s="1"/>
  <c r="K826" i="1"/>
  <c r="L23" i="2"/>
  <c r="L26" i="2"/>
  <c r="L24" i="2" s="1"/>
  <c r="K340" i="2"/>
  <c r="L477" i="2"/>
  <c r="O477" i="2" s="1"/>
  <c r="L546" i="2"/>
  <c r="L544" i="2" s="1"/>
  <c r="K647" i="2"/>
  <c r="I654" i="2"/>
  <c r="L687" i="2"/>
  <c r="L685" i="2" s="1"/>
  <c r="O685" i="2" s="1"/>
  <c r="N9" i="2"/>
  <c r="N19" i="2"/>
  <c r="O152" i="2"/>
  <c r="L167" i="2"/>
  <c r="K176" i="2"/>
  <c r="I174" i="2"/>
  <c r="M183" i="2"/>
  <c r="M187" i="2"/>
  <c r="P187" i="2" s="1"/>
  <c r="M351" i="2"/>
  <c r="P351" i="2" s="1"/>
  <c r="P353" i="2"/>
  <c r="J669" i="2"/>
  <c r="J654" i="2" s="1"/>
  <c r="K675" i="2"/>
  <c r="I785" i="2"/>
  <c r="K785" i="2" s="1"/>
  <c r="K800" i="2"/>
  <c r="L44" i="2"/>
  <c r="L47" i="2"/>
  <c r="O47" i="2" s="1"/>
  <c r="L69" i="2"/>
  <c r="O69" i="2" s="1"/>
  <c r="L72" i="2"/>
  <c r="O72" i="2" s="1"/>
  <c r="I76" i="2"/>
  <c r="N90" i="2"/>
  <c r="N88" i="2" s="1"/>
  <c r="K98" i="2"/>
  <c r="N121" i="2"/>
  <c r="N119" i="2" s="1"/>
  <c r="O133" i="2"/>
  <c r="K146" i="2"/>
  <c r="O154" i="2"/>
  <c r="O320" i="2"/>
  <c r="L318" i="2"/>
  <c r="O318" i="2" s="1"/>
  <c r="M395" i="2"/>
  <c r="P395" i="2" s="1"/>
  <c r="P397" i="2"/>
  <c r="I442" i="2"/>
  <c r="K442" i="2" s="1"/>
  <c r="K460" i="2"/>
  <c r="N348" i="2"/>
  <c r="O348" i="2" s="1"/>
  <c r="N788" i="2"/>
  <c r="N786" i="2" s="1"/>
  <c r="N789" i="2"/>
  <c r="N23" i="2"/>
  <c r="N151" i="2"/>
  <c r="P154" i="2"/>
  <c r="P182" i="2"/>
  <c r="O186" i="2"/>
  <c r="L184" i="2"/>
  <c r="P266" i="2"/>
  <c r="N264" i="2"/>
  <c r="N300" i="2"/>
  <c r="N298" i="2" s="1"/>
  <c r="P346" i="2"/>
  <c r="O528" i="2"/>
  <c r="M528" i="2"/>
  <c r="L526" i="2"/>
  <c r="L525" i="2"/>
  <c r="P787" i="2"/>
  <c r="M786" i="2"/>
  <c r="P786" i="2" s="1"/>
  <c r="O407" i="2"/>
  <c r="L405" i="2"/>
  <c r="O405" i="2" s="1"/>
  <c r="L404" i="2"/>
  <c r="M34" i="2"/>
  <c r="P34" i="2" s="1"/>
  <c r="P58" i="2"/>
  <c r="P61" i="2"/>
  <c r="P166" i="2"/>
  <c r="O170" i="2"/>
  <c r="L168" i="2"/>
  <c r="I216" i="2"/>
  <c r="K216" i="2" s="1"/>
  <c r="N227" i="2"/>
  <c r="L263" i="2"/>
  <c r="O266" i="2"/>
  <c r="M318" i="2"/>
  <c r="P318" i="2" s="1"/>
  <c r="O323" i="2"/>
  <c r="L321" i="2"/>
  <c r="O321" i="2" s="1"/>
  <c r="N446" i="2"/>
  <c r="N447" i="2"/>
  <c r="O173" i="2"/>
  <c r="L171" i="2"/>
  <c r="O171" i="2" s="1"/>
  <c r="L12" i="2"/>
  <c r="L19" i="2"/>
  <c r="I77" i="2"/>
  <c r="P89" i="2"/>
  <c r="K99" i="2"/>
  <c r="O127" i="2"/>
  <c r="K204" i="2"/>
  <c r="L249" i="2"/>
  <c r="P285" i="2"/>
  <c r="O316" i="2"/>
  <c r="P738" i="2"/>
  <c r="M737" i="2"/>
  <c r="P737" i="2" s="1"/>
  <c r="J288" i="2"/>
  <c r="J275" i="2" s="1"/>
  <c r="I275" i="2"/>
  <c r="K723" i="2"/>
  <c r="J721" i="2"/>
  <c r="K721" i="2" s="1"/>
  <c r="M12" i="2"/>
  <c r="M19" i="2"/>
  <c r="L90" i="2"/>
  <c r="L121" i="2"/>
  <c r="O157" i="2"/>
  <c r="L183" i="2"/>
  <c r="O189" i="2"/>
  <c r="L187" i="2"/>
  <c r="O187" i="2" s="1"/>
  <c r="N263" i="2"/>
  <c r="M279" i="2"/>
  <c r="O306" i="2"/>
  <c r="L317" i="2"/>
  <c r="P329" i="2"/>
  <c r="M347" i="2"/>
  <c r="J433" i="2"/>
  <c r="K437" i="2"/>
  <c r="P316" i="2"/>
  <c r="M348" i="2"/>
  <c r="P350" i="2"/>
  <c r="O424" i="2"/>
  <c r="N528" i="2"/>
  <c r="K561" i="2"/>
  <c r="J628" i="2"/>
  <c r="K628" i="2" s="1"/>
  <c r="O634" i="2"/>
  <c r="M634" i="2"/>
  <c r="N737" i="2"/>
  <c r="M770" i="2"/>
  <c r="P770" i="2" s="1"/>
  <c r="N631" i="2"/>
  <c r="N629" i="2" s="1"/>
  <c r="N632" i="2"/>
  <c r="P806" i="2"/>
  <c r="M805" i="2"/>
  <c r="P805" i="2" s="1"/>
  <c r="O632" i="2"/>
  <c r="M658" i="2"/>
  <c r="P658" i="2" s="1"/>
  <c r="P660" i="2"/>
  <c r="N685" i="2"/>
  <c r="I364" i="2"/>
  <c r="K365" i="2"/>
  <c r="M392" i="2"/>
  <c r="P392" i="2" s="1"/>
  <c r="P394" i="2"/>
  <c r="P420" i="2"/>
  <c r="O472" i="2"/>
  <c r="M472" i="2"/>
  <c r="N546" i="2"/>
  <c r="N544" i="2" s="1"/>
  <c r="N547" i="2"/>
  <c r="P656" i="2"/>
  <c r="M655" i="2"/>
  <c r="P655" i="2" s="1"/>
  <c r="I237" i="2"/>
  <c r="K360" i="2"/>
  <c r="K362" i="2"/>
  <c r="K378" i="2"/>
  <c r="P390" i="2"/>
  <c r="L408" i="2"/>
  <c r="O408" i="2" s="1"/>
  <c r="N419" i="2"/>
  <c r="L421" i="2"/>
  <c r="O431" i="2"/>
  <c r="L469" i="2"/>
  <c r="N469" i="2"/>
  <c r="N467" i="2" s="1"/>
  <c r="N470" i="2"/>
  <c r="I522" i="2"/>
  <c r="K569" i="2"/>
  <c r="N655" i="2"/>
  <c r="N754" i="2"/>
  <c r="O350" i="2"/>
  <c r="M449" i="2"/>
  <c r="M549" i="2"/>
  <c r="K672" i="2"/>
  <c r="L688" i="2"/>
  <c r="O688" i="2" s="1"/>
  <c r="M690" i="2"/>
  <c r="K673" i="2"/>
  <c r="K311" i="1"/>
  <c r="N330" i="1"/>
  <c r="N328" i="1" s="1"/>
  <c r="K803" i="1"/>
  <c r="K823" i="1"/>
  <c r="J729" i="1"/>
  <c r="K729" i="1" s="1"/>
  <c r="M90" i="1"/>
  <c r="M88" i="1" s="1"/>
  <c r="N121" i="1"/>
  <c r="N119" i="1" s="1"/>
  <c r="L408" i="1"/>
  <c r="O408" i="1" s="1"/>
  <c r="K309" i="1"/>
  <c r="L429" i="1"/>
  <c r="O429" i="1" s="1"/>
  <c r="P152" i="1"/>
  <c r="M304" i="1"/>
  <c r="P304" i="1" s="1"/>
  <c r="K723" i="1"/>
  <c r="J721" i="1"/>
  <c r="K721" i="1" s="1"/>
  <c r="L231" i="1"/>
  <c r="I236" i="1"/>
  <c r="O303" i="1"/>
  <c r="I401" i="1"/>
  <c r="K401" i="1" s="1"/>
  <c r="M91" i="1"/>
  <c r="M94" i="1"/>
  <c r="P94" i="1" s="1"/>
  <c r="K495" i="1"/>
  <c r="I77" i="1"/>
  <c r="I65" i="1" s="1"/>
  <c r="N230" i="1"/>
  <c r="J235" i="1"/>
  <c r="L229" i="1"/>
  <c r="J466" i="1"/>
  <c r="K466" i="1" s="1"/>
  <c r="L238" i="1"/>
  <c r="N229" i="1"/>
  <c r="K700" i="1"/>
  <c r="K110" i="1"/>
  <c r="K206" i="1"/>
  <c r="K674" i="1"/>
  <c r="M408" i="1"/>
  <c r="P408" i="1" s="1"/>
  <c r="J596" i="1"/>
  <c r="N634" i="1"/>
  <c r="N631" i="1" s="1"/>
  <c r="P631" i="1" s="1"/>
  <c r="K644" i="1"/>
  <c r="K647" i="1"/>
  <c r="N122" i="1"/>
  <c r="O127" i="1"/>
  <c r="N167" i="1"/>
  <c r="N165" i="1" s="1"/>
  <c r="L198" i="1"/>
  <c r="L304" i="1"/>
  <c r="O304" i="1" s="1"/>
  <c r="P350" i="1"/>
  <c r="K671" i="1"/>
  <c r="N68" i="1"/>
  <c r="N66" i="1" s="1"/>
  <c r="K107" i="1"/>
  <c r="P140" i="1"/>
  <c r="K190" i="1"/>
  <c r="M267" i="1"/>
  <c r="P267" i="1" s="1"/>
  <c r="K365" i="1"/>
  <c r="P46" i="1"/>
  <c r="K223" i="1"/>
  <c r="L33" i="1"/>
  <c r="L31" i="1" s="1"/>
  <c r="N55" i="1"/>
  <c r="N53" i="1" s="1"/>
  <c r="K82" i="1"/>
  <c r="K325" i="1"/>
  <c r="O456" i="1"/>
  <c r="L55" i="1"/>
  <c r="L183" i="1"/>
  <c r="L181" i="1" s="1"/>
  <c r="N238" i="1"/>
  <c r="L230" i="1"/>
  <c r="L263" i="1"/>
  <c r="L261" i="1" s="1"/>
  <c r="K369" i="1"/>
  <c r="K372" i="1"/>
  <c r="J604" i="1"/>
  <c r="M632" i="1"/>
  <c r="P71" i="1"/>
  <c r="N134" i="1"/>
  <c r="N132" i="1" s="1"/>
  <c r="J194" i="1"/>
  <c r="I233" i="1"/>
  <c r="M300" i="1"/>
  <c r="M298" i="1" s="1"/>
  <c r="K360" i="1"/>
  <c r="N549" i="1"/>
  <c r="N547" i="1" s="1"/>
  <c r="O547" i="1" s="1"/>
  <c r="L217" i="1"/>
  <c r="J327" i="1"/>
  <c r="K327" i="1" s="1"/>
  <c r="K460" i="1"/>
  <c r="L36" i="1"/>
  <c r="O36" i="1" s="1"/>
  <c r="K498" i="1"/>
  <c r="J785" i="1"/>
  <c r="P61" i="1"/>
  <c r="K81" i="1"/>
  <c r="K84" i="1"/>
  <c r="K114" i="1"/>
  <c r="K118" i="1"/>
  <c r="M122" i="1"/>
  <c r="P122" i="1" s="1"/>
  <c r="P127" i="1"/>
  <c r="P264" i="1"/>
  <c r="L267" i="1"/>
  <c r="O267" i="1" s="1"/>
  <c r="N391" i="1"/>
  <c r="N389" i="1" s="1"/>
  <c r="K487" i="1"/>
  <c r="M279" i="1"/>
  <c r="M277" i="1" s="1"/>
  <c r="M43" i="1"/>
  <c r="M41" i="1" s="1"/>
  <c r="M69" i="1"/>
  <c r="K103" i="1"/>
  <c r="J100" i="1"/>
  <c r="K100" i="1" s="1"/>
  <c r="K115" i="1"/>
  <c r="N135" i="1"/>
  <c r="O135" i="1" s="1"/>
  <c r="M138" i="1"/>
  <c r="P138" i="1" s="1"/>
  <c r="M171" i="1"/>
  <c r="P171" i="1" s="1"/>
  <c r="N183" i="1"/>
  <c r="N209" i="1"/>
  <c r="L283" i="1"/>
  <c r="O283" i="1" s="1"/>
  <c r="P336" i="1"/>
  <c r="P353" i="1"/>
  <c r="K381" i="1"/>
  <c r="I388" i="1"/>
  <c r="K388" i="1" s="1"/>
  <c r="N392" i="1"/>
  <c r="L395" i="1"/>
  <c r="O395" i="1" s="1"/>
  <c r="L405" i="1"/>
  <c r="O405" i="1" s="1"/>
  <c r="K435" i="1"/>
  <c r="L469" i="1"/>
  <c r="L467" i="1" s="1"/>
  <c r="K492" i="1"/>
  <c r="K538" i="1"/>
  <c r="K699" i="1"/>
  <c r="J708" i="1"/>
  <c r="K708" i="1" s="1"/>
  <c r="K720" i="1"/>
  <c r="M404" i="1"/>
  <c r="P404" i="1" s="1"/>
  <c r="M44" i="1"/>
  <c r="P44" i="1" s="1"/>
  <c r="M47" i="1"/>
  <c r="P47" i="1" s="1"/>
  <c r="N56" i="1"/>
  <c r="P56" i="1" s="1"/>
  <c r="O58" i="1"/>
  <c r="N69" i="1"/>
  <c r="M72" i="1"/>
  <c r="P72" i="1" s="1"/>
  <c r="N151" i="1"/>
  <c r="N149" i="1" s="1"/>
  <c r="L184" i="1"/>
  <c r="L187" i="1"/>
  <c r="O187" i="1" s="1"/>
  <c r="K224" i="1"/>
  <c r="J233" i="1"/>
  <c r="M263" i="1"/>
  <c r="M261" i="1" s="1"/>
  <c r="M283" i="1"/>
  <c r="P283" i="1" s="1"/>
  <c r="L321" i="1"/>
  <c r="O321" i="1" s="1"/>
  <c r="I434" i="1"/>
  <c r="I418" i="1" s="1"/>
  <c r="K483" i="1"/>
  <c r="K541" i="1"/>
  <c r="J560" i="1"/>
  <c r="K560" i="1" s="1"/>
  <c r="J621" i="1"/>
  <c r="K621" i="1" s="1"/>
  <c r="N26" i="1"/>
  <c r="N16" i="1" s="1"/>
  <c r="N14" i="1" s="1"/>
  <c r="I76" i="1"/>
  <c r="I64" i="1" s="1"/>
  <c r="K109" i="1"/>
  <c r="J226" i="1"/>
  <c r="J180" i="1" s="1"/>
  <c r="K310" i="1"/>
  <c r="P323" i="1"/>
  <c r="O350" i="1"/>
  <c r="J434" i="1"/>
  <c r="J418" i="1" s="1"/>
  <c r="J603" i="1"/>
  <c r="I785" i="1"/>
  <c r="N90" i="1"/>
  <c r="N88" i="1" s="1"/>
  <c r="P125" i="1"/>
  <c r="N198" i="1"/>
  <c r="N249" i="1"/>
  <c r="J236" i="1"/>
  <c r="K314" i="1"/>
  <c r="O336" i="1"/>
  <c r="K340" i="1"/>
  <c r="O353" i="1"/>
  <c r="K463" i="1"/>
  <c r="K489" i="1"/>
  <c r="J679" i="1"/>
  <c r="J678" i="1" s="1"/>
  <c r="K822" i="1"/>
  <c r="K825" i="1"/>
  <c r="K828" i="1"/>
  <c r="P32" i="1"/>
  <c r="K79" i="1"/>
  <c r="P137" i="1"/>
  <c r="O138" i="1"/>
  <c r="O318" i="1"/>
  <c r="P334" i="1"/>
  <c r="N347" i="1"/>
  <c r="N345" i="1" s="1"/>
  <c r="I442" i="1"/>
  <c r="K442" i="1" s="1"/>
  <c r="K670" i="1"/>
  <c r="K726" i="1"/>
  <c r="N23" i="1"/>
  <c r="N21" i="1" s="1"/>
  <c r="M68" i="1"/>
  <c r="M121" i="1"/>
  <c r="L167" i="1"/>
  <c r="L165" i="1" s="1"/>
  <c r="O173" i="1"/>
  <c r="L347" i="1"/>
  <c r="L345" i="1" s="1"/>
  <c r="J583" i="1"/>
  <c r="J577" i="1" s="1"/>
  <c r="K577" i="1" s="1"/>
  <c r="J675" i="1"/>
  <c r="J669" i="1" s="1"/>
  <c r="M688" i="1"/>
  <c r="M788" i="1"/>
  <c r="M786" i="1" s="1"/>
  <c r="N43" i="1"/>
  <c r="N41" i="1" s="1"/>
  <c r="O44" i="1"/>
  <c r="P58" i="1"/>
  <c r="N91" i="1"/>
  <c r="O91" i="1" s="1"/>
  <c r="O93" i="1"/>
  <c r="K102" i="1"/>
  <c r="K106" i="1"/>
  <c r="K113" i="1"/>
  <c r="M167" i="1"/>
  <c r="M165" i="1" s="1"/>
  <c r="O191" i="1"/>
  <c r="K276" i="1"/>
  <c r="L301" i="1"/>
  <c r="O333" i="1"/>
  <c r="K338" i="1"/>
  <c r="M347" i="1"/>
  <c r="M345" i="1" s="1"/>
  <c r="L351" i="1"/>
  <c r="O351" i="1" s="1"/>
  <c r="P351" i="1"/>
  <c r="K379" i="1"/>
  <c r="M392" i="1"/>
  <c r="P392" i="1" s="1"/>
  <c r="M405" i="1"/>
  <c r="P405" i="1" s="1"/>
  <c r="N404" i="1"/>
  <c r="N402" i="1" s="1"/>
  <c r="K438" i="1"/>
  <c r="N472" i="1"/>
  <c r="N469" i="1" s="1"/>
  <c r="N467" i="1" s="1"/>
  <c r="L526" i="1"/>
  <c r="J620" i="1"/>
  <c r="K620" i="1" s="1"/>
  <c r="K728" i="1"/>
  <c r="N791" i="1"/>
  <c r="O791" i="1" s="1"/>
  <c r="O71" i="1"/>
  <c r="P93" i="1"/>
  <c r="M151" i="1"/>
  <c r="M149" i="1" s="1"/>
  <c r="L209" i="1"/>
  <c r="N217" i="1"/>
  <c r="L279" i="1"/>
  <c r="L277" i="1" s="1"/>
  <c r="K290" i="1"/>
  <c r="K294" i="1"/>
  <c r="L330" i="1"/>
  <c r="K374" i="1"/>
  <c r="K439" i="1"/>
  <c r="K542" i="1"/>
  <c r="K821" i="1"/>
  <c r="K824" i="1"/>
  <c r="K827" i="1"/>
  <c r="M629" i="1"/>
  <c r="O46" i="1"/>
  <c r="M59" i="1"/>
  <c r="P59" i="1" s="1"/>
  <c r="K80" i="1"/>
  <c r="K83" i="1"/>
  <c r="I112" i="1"/>
  <c r="K144" i="1"/>
  <c r="L155" i="1"/>
  <c r="O155" i="1" s="1"/>
  <c r="L228" i="1"/>
  <c r="N228" i="1"/>
  <c r="N231" i="1"/>
  <c r="L249" i="1"/>
  <c r="O249" i="1" s="1"/>
  <c r="K287" i="1"/>
  <c r="K291" i="1"/>
  <c r="I297" i="1"/>
  <c r="K297" i="1" s="1"/>
  <c r="L317" i="1"/>
  <c r="L315" i="1" s="1"/>
  <c r="N331" i="1"/>
  <c r="O331" i="1" s="1"/>
  <c r="L334" i="1"/>
  <c r="O334" i="1" s="1"/>
  <c r="L348" i="1"/>
  <c r="O348" i="1" s="1"/>
  <c r="P348" i="1"/>
  <c r="J364" i="1"/>
  <c r="K385" i="1"/>
  <c r="M421" i="1"/>
  <c r="M419" i="1" s="1"/>
  <c r="N528" i="1"/>
  <c r="P528" i="1" s="1"/>
  <c r="K643" i="1"/>
  <c r="N690" i="1"/>
  <c r="N687" i="1" s="1"/>
  <c r="N685" i="1" s="1"/>
  <c r="K801" i="1"/>
  <c r="O96" i="1"/>
  <c r="J111" i="1"/>
  <c r="K111" i="1" s="1"/>
  <c r="L121" i="1"/>
  <c r="O124" i="1"/>
  <c r="O125" i="1"/>
  <c r="O137" i="1"/>
  <c r="M155" i="1"/>
  <c r="P155" i="1" s="1"/>
  <c r="K148" i="1"/>
  <c r="K207" i="1"/>
  <c r="K244" i="1"/>
  <c r="N263" i="1"/>
  <c r="N261" i="1" s="1"/>
  <c r="P266" i="1"/>
  <c r="L300" i="1"/>
  <c r="L298" i="1" s="1"/>
  <c r="K312" i="1"/>
  <c r="O320" i="1"/>
  <c r="I364" i="1"/>
  <c r="K370" i="1"/>
  <c r="K378" i="1"/>
  <c r="K440" i="1"/>
  <c r="L657" i="1"/>
  <c r="L655" i="1" s="1"/>
  <c r="N660" i="1"/>
  <c r="O660" i="1" s="1"/>
  <c r="J701" i="1"/>
  <c r="K701" i="1" s="1"/>
  <c r="K98" i="1"/>
  <c r="J86" i="1"/>
  <c r="K86" i="1" s="1"/>
  <c r="O140" i="1"/>
  <c r="O182" i="1"/>
  <c r="M331" i="1"/>
  <c r="M330" i="1"/>
  <c r="P333" i="1"/>
  <c r="P420" i="1"/>
  <c r="P12" i="1"/>
  <c r="M9" i="1"/>
  <c r="K145" i="1"/>
  <c r="I143" i="1"/>
  <c r="K176" i="1"/>
  <c r="I174" i="1"/>
  <c r="N187" i="1"/>
  <c r="K225" i="1"/>
  <c r="K246" i="1"/>
  <c r="I235" i="1"/>
  <c r="M23" i="1"/>
  <c r="J77" i="1"/>
  <c r="J112" i="1"/>
  <c r="K116" i="1"/>
  <c r="O133" i="1"/>
  <c r="K215" i="1"/>
  <c r="I208" i="1"/>
  <c r="K208" i="1" s="1"/>
  <c r="J355" i="1"/>
  <c r="K355" i="1" s="1"/>
  <c r="K362" i="1"/>
  <c r="M29" i="1"/>
  <c r="O154" i="1"/>
  <c r="L151" i="1"/>
  <c r="L152" i="1"/>
  <c r="O152" i="1" s="1"/>
  <c r="P166" i="1"/>
  <c r="M469" i="1"/>
  <c r="M470" i="1"/>
  <c r="M545" i="1"/>
  <c r="P555" i="1"/>
  <c r="K78" i="1"/>
  <c r="J76" i="1"/>
  <c r="O186" i="1"/>
  <c r="P186" i="1"/>
  <c r="K204" i="1"/>
  <c r="J197" i="1"/>
  <c r="K197" i="1" s="1"/>
  <c r="P397" i="1"/>
  <c r="M391" i="1"/>
  <c r="P391" i="1" s="1"/>
  <c r="N19" i="1"/>
  <c r="N12" i="1"/>
  <c r="M318" i="1"/>
  <c r="P318" i="1" s="1"/>
  <c r="M317" i="1"/>
  <c r="P320" i="1"/>
  <c r="P390" i="1"/>
  <c r="O403" i="1"/>
  <c r="L47" i="1"/>
  <c r="O47" i="1" s="1"/>
  <c r="L26" i="1"/>
  <c r="L43" i="1"/>
  <c r="L69" i="1"/>
  <c r="L68" i="1"/>
  <c r="J99" i="1"/>
  <c r="K104" i="1"/>
  <c r="L134" i="1"/>
  <c r="N184" i="1"/>
  <c r="I443" i="1"/>
  <c r="K443" i="1" s="1"/>
  <c r="K462" i="1"/>
  <c r="P35" i="1"/>
  <c r="M26" i="1"/>
  <c r="O54" i="1"/>
  <c r="O61" i="1"/>
  <c r="O74" i="1"/>
  <c r="L90" i="1"/>
  <c r="L88" i="1" s="1"/>
  <c r="M134" i="1"/>
  <c r="P154" i="1"/>
  <c r="J164" i="1"/>
  <c r="P182" i="1"/>
  <c r="K214" i="1"/>
  <c r="K255" i="1"/>
  <c r="I248" i="1"/>
  <c r="K248" i="1" s="1"/>
  <c r="K260" i="1"/>
  <c r="O266" i="1"/>
  <c r="K275" i="1"/>
  <c r="K437" i="1"/>
  <c r="N756" i="1"/>
  <c r="N754" i="1" s="1"/>
  <c r="N757" i="1"/>
  <c r="P189" i="1"/>
  <c r="O282" i="1"/>
  <c r="K433" i="1"/>
  <c r="J417" i="1"/>
  <c r="K417" i="1" s="1"/>
  <c r="M33" i="1"/>
  <c r="M31" i="1" s="1"/>
  <c r="M446" i="1"/>
  <c r="M444" i="1" s="1"/>
  <c r="K464" i="1"/>
  <c r="O59" i="1"/>
  <c r="P170" i="1"/>
  <c r="N168" i="1"/>
  <c r="O346" i="1"/>
  <c r="L422" i="1"/>
  <c r="L421" i="1"/>
  <c r="O503" i="1"/>
  <c r="L502" i="1"/>
  <c r="O502" i="1" s="1"/>
  <c r="O656" i="1"/>
  <c r="L789" i="1"/>
  <c r="L788" i="1"/>
  <c r="L23" i="1"/>
  <c r="M55" i="1"/>
  <c r="I130" i="1"/>
  <c r="K130" i="1" s="1"/>
  <c r="K146" i="1"/>
  <c r="K159" i="1"/>
  <c r="O170" i="1"/>
  <c r="M183" i="1"/>
  <c r="K193" i="1"/>
  <c r="K216" i="1"/>
  <c r="L264" i="1"/>
  <c r="O264" i="1" s="1"/>
  <c r="N283" i="1"/>
  <c r="N279" i="1"/>
  <c r="N304" i="1"/>
  <c r="N300" i="1"/>
  <c r="M526" i="1"/>
  <c r="M525" i="1"/>
  <c r="L525" i="1"/>
  <c r="O535" i="1"/>
  <c r="M547" i="1"/>
  <c r="L555" i="1"/>
  <c r="O555" i="1" s="1"/>
  <c r="O557" i="1"/>
  <c r="L546" i="1"/>
  <c r="L544" i="1" s="1"/>
  <c r="J628" i="1"/>
  <c r="K628" i="1" s="1"/>
  <c r="K651" i="1"/>
  <c r="O686" i="1"/>
  <c r="N739" i="1"/>
  <c r="N737" i="1" s="1"/>
  <c r="N740" i="1"/>
  <c r="O545" i="1"/>
  <c r="L688" i="1"/>
  <c r="L687" i="1"/>
  <c r="L12" i="1"/>
  <c r="L19" i="1"/>
  <c r="K258" i="1"/>
  <c r="K247" i="1"/>
  <c r="K271" i="1"/>
  <c r="K288" i="1"/>
  <c r="K293" i="1"/>
  <c r="N317" i="1"/>
  <c r="L404" i="1"/>
  <c r="O404" i="1" s="1"/>
  <c r="N424" i="1"/>
  <c r="L446" i="1"/>
  <c r="L444" i="1" s="1"/>
  <c r="I522" i="1"/>
  <c r="K522" i="1" s="1"/>
  <c r="K537" i="1"/>
  <c r="I237" i="1"/>
  <c r="N280" i="1"/>
  <c r="P280" i="1" s="1"/>
  <c r="P282" i="1"/>
  <c r="N301" i="1"/>
  <c r="P301" i="1" s="1"/>
  <c r="P303" i="1"/>
  <c r="K359" i="1"/>
  <c r="O394" i="1"/>
  <c r="L391" i="1"/>
  <c r="N449" i="1"/>
  <c r="O449" i="1" s="1"/>
  <c r="L477" i="1"/>
  <c r="O477" i="1" s="1"/>
  <c r="O479" i="1"/>
  <c r="J465" i="1"/>
  <c r="K465" i="1" s="1"/>
  <c r="K485" i="1"/>
  <c r="N502" i="1"/>
  <c r="J568" i="1"/>
  <c r="K568" i="1" s="1"/>
  <c r="M658" i="1"/>
  <c r="M657" i="1"/>
  <c r="M655" i="1" s="1"/>
  <c r="M685" i="1"/>
  <c r="J722" i="1"/>
  <c r="K722" i="1" s="1"/>
  <c r="K725" i="1"/>
  <c r="L737" i="1"/>
  <c r="O737" i="1" s="1"/>
  <c r="M754" i="1"/>
  <c r="P754" i="1" s="1"/>
  <c r="M502" i="1"/>
  <c r="P502" i="1" s="1"/>
  <c r="J561" i="1"/>
  <c r="K561" i="1" s="1"/>
  <c r="J595" i="1"/>
  <c r="K649" i="1"/>
  <c r="O524" i="1"/>
  <c r="J569" i="1"/>
  <c r="K569" i="1" s="1"/>
  <c r="J582" i="1"/>
  <c r="J576" i="1" s="1"/>
  <c r="L631" i="1"/>
  <c r="L639" i="1"/>
  <c r="O639" i="1" s="1"/>
  <c r="L754" i="1"/>
  <c r="O754" i="1" s="1"/>
  <c r="M770" i="1"/>
  <c r="P770" i="1" s="1"/>
  <c r="K673" i="1"/>
  <c r="P738" i="1"/>
  <c r="P755" i="1"/>
  <c r="P771" i="1"/>
  <c r="O787" i="1"/>
  <c r="M805" i="1"/>
  <c r="P805" i="1" s="1"/>
  <c r="K672" i="1"/>
  <c r="M632" i="21" l="1"/>
  <c r="P632" i="21" s="1"/>
  <c r="M631" i="21"/>
  <c r="P634" i="21"/>
  <c r="O43" i="21"/>
  <c r="N41" i="21"/>
  <c r="P41" i="21" s="1"/>
  <c r="M688" i="21"/>
  <c r="P688" i="21" s="1"/>
  <c r="M687" i="21"/>
  <c r="P446" i="7"/>
  <c r="L389" i="13"/>
  <c r="O389" i="13" s="1"/>
  <c r="K143" i="15"/>
  <c r="K77" i="16"/>
  <c r="O421" i="18"/>
  <c r="M688" i="19"/>
  <c r="P688" i="19" s="1"/>
  <c r="K654" i="19"/>
  <c r="O43" i="20"/>
  <c r="M632" i="20"/>
  <c r="P632" i="20" s="1"/>
  <c r="P88" i="21"/>
  <c r="L523" i="5"/>
  <c r="O523" i="5" s="1"/>
  <c r="P421" i="11"/>
  <c r="M298" i="13"/>
  <c r="P298" i="13" s="1"/>
  <c r="M789" i="15"/>
  <c r="M389" i="16"/>
  <c r="P389" i="16" s="1"/>
  <c r="L149" i="16"/>
  <c r="O149" i="16" s="1"/>
  <c r="M658" i="18"/>
  <c r="P658" i="18" s="1"/>
  <c r="N16" i="18"/>
  <c r="M687" i="19"/>
  <c r="O183" i="19"/>
  <c r="L31" i="21"/>
  <c r="O31" i="21" s="1"/>
  <c r="L30" i="21"/>
  <c r="O33" i="21"/>
  <c r="P345" i="21"/>
  <c r="P43" i="21"/>
  <c r="M24" i="21"/>
  <c r="M16" i="21"/>
  <c r="P279" i="9"/>
  <c r="M629" i="12"/>
  <c r="P629" i="12" s="1"/>
  <c r="M389" i="18"/>
  <c r="P389" i="18" s="1"/>
  <c r="O68" i="21"/>
  <c r="N66" i="21"/>
  <c r="O66" i="21" s="1"/>
  <c r="O631" i="21"/>
  <c r="L629" i="21"/>
  <c r="O629" i="21" s="1"/>
  <c r="L389" i="11"/>
  <c r="O389" i="11" s="1"/>
  <c r="K288" i="11"/>
  <c r="L629" i="12"/>
  <c r="O629" i="12" s="1"/>
  <c r="O469" i="13"/>
  <c r="L30" i="12"/>
  <c r="O30" i="12" s="1"/>
  <c r="O446" i="14"/>
  <c r="O788" i="15"/>
  <c r="I64" i="16"/>
  <c r="K64" i="16" s="1"/>
  <c r="P53" i="18"/>
  <c r="O121" i="18"/>
  <c r="O68" i="20"/>
  <c r="O181" i="20"/>
  <c r="M66" i="21"/>
  <c r="N345" i="21"/>
  <c r="O345" i="21" s="1"/>
  <c r="L467" i="21"/>
  <c r="O467" i="21" s="1"/>
  <c r="P547" i="21"/>
  <c r="P660" i="21"/>
  <c r="M657" i="21"/>
  <c r="M658" i="21"/>
  <c r="P658" i="21" s="1"/>
  <c r="K374" i="21"/>
  <c r="P15" i="21"/>
  <c r="M14" i="21"/>
  <c r="O23" i="21"/>
  <c r="L20" i="21"/>
  <c r="L13" i="21"/>
  <c r="O168" i="20"/>
  <c r="N16" i="21"/>
  <c r="P26" i="21"/>
  <c r="N24" i="21"/>
  <c r="P328" i="21"/>
  <c r="O300" i="20"/>
  <c r="P167" i="20"/>
  <c r="P546" i="21"/>
  <c r="O446" i="21"/>
  <c r="P298" i="21"/>
  <c r="P9" i="21"/>
  <c r="O91" i="21"/>
  <c r="M18" i="21"/>
  <c r="L227" i="21"/>
  <c r="N544" i="21"/>
  <c r="O544" i="21" s="1"/>
  <c r="O444" i="21"/>
  <c r="O26" i="21"/>
  <c r="L16" i="21"/>
  <c r="L261" i="21"/>
  <c r="O261" i="21" s="1"/>
  <c r="P300" i="21"/>
  <c r="M544" i="21"/>
  <c r="P544" i="21" s="1"/>
  <c r="I131" i="21"/>
  <c r="K131" i="21" s="1"/>
  <c r="K143" i="21"/>
  <c r="O26" i="20"/>
  <c r="M446" i="21"/>
  <c r="M447" i="21"/>
  <c r="P447" i="21" s="1"/>
  <c r="P449" i="21"/>
  <c r="P424" i="21"/>
  <c r="M421" i="21"/>
  <c r="M422" i="21"/>
  <c r="P422" i="21" s="1"/>
  <c r="M33" i="21"/>
  <c r="O298" i="21"/>
  <c r="O15" i="21"/>
  <c r="L181" i="21"/>
  <c r="O181" i="21" s="1"/>
  <c r="P59" i="21"/>
  <c r="L24" i="21"/>
  <c r="O24" i="21" s="1"/>
  <c r="O657" i="21"/>
  <c r="L655" i="21"/>
  <c r="O655" i="21" s="1"/>
  <c r="K433" i="21"/>
  <c r="I417" i="21"/>
  <c r="K417" i="21" s="1"/>
  <c r="O391" i="21"/>
  <c r="L389" i="21"/>
  <c r="O389" i="21" s="1"/>
  <c r="O421" i="21"/>
  <c r="L419" i="21"/>
  <c r="K174" i="21"/>
  <c r="I164" i="21"/>
  <c r="K164" i="21" s="1"/>
  <c r="P29" i="21"/>
  <c r="L9" i="21"/>
  <c r="O12" i="21"/>
  <c r="O167" i="21"/>
  <c r="L165" i="21"/>
  <c r="O165" i="21" s="1"/>
  <c r="I64" i="21"/>
  <c r="K64" i="21" s="1"/>
  <c r="K76" i="21"/>
  <c r="O53" i="18"/>
  <c r="P791" i="21"/>
  <c r="M788" i="21"/>
  <c r="M789" i="21"/>
  <c r="P789" i="21" s="1"/>
  <c r="M389" i="21"/>
  <c r="P389" i="21" s="1"/>
  <c r="L523" i="21"/>
  <c r="O523" i="21" s="1"/>
  <c r="N414" i="21"/>
  <c r="K77" i="21"/>
  <c r="I65" i="21"/>
  <c r="K65" i="21" s="1"/>
  <c r="N20" i="21"/>
  <c r="N18" i="21" s="1"/>
  <c r="N13" i="21"/>
  <c r="L18" i="21"/>
  <c r="O19" i="21"/>
  <c r="I226" i="21"/>
  <c r="K237" i="21"/>
  <c r="P21" i="21"/>
  <c r="N21" i="21"/>
  <c r="O21" i="21" s="1"/>
  <c r="N277" i="21"/>
  <c r="O277" i="21" s="1"/>
  <c r="O279" i="21"/>
  <c r="L655" i="19"/>
  <c r="O655" i="19" s="1"/>
  <c r="M298" i="19"/>
  <c r="P298" i="19" s="1"/>
  <c r="O544" i="20"/>
  <c r="O345" i="20"/>
  <c r="M20" i="20"/>
  <c r="M18" i="20" s="1"/>
  <c r="P23" i="20"/>
  <c r="P68" i="11"/>
  <c r="L444" i="18"/>
  <c r="O444" i="18" s="1"/>
  <c r="O685" i="20"/>
  <c r="N24" i="20"/>
  <c r="O24" i="20" s="1"/>
  <c r="O328" i="16"/>
  <c r="M467" i="18"/>
  <c r="L66" i="18"/>
  <c r="O330" i="19"/>
  <c r="N261" i="20"/>
  <c r="P261" i="20" s="1"/>
  <c r="P391" i="20"/>
  <c r="M389" i="20"/>
  <c r="P389" i="20" s="1"/>
  <c r="P55" i="20"/>
  <c r="M53" i="20"/>
  <c r="P53" i="20" s="1"/>
  <c r="M402" i="19"/>
  <c r="P402" i="19" s="1"/>
  <c r="N21" i="19"/>
  <c r="P21" i="19" s="1"/>
  <c r="L16" i="20"/>
  <c r="P26" i="20"/>
  <c r="O36" i="20"/>
  <c r="L34" i="20"/>
  <c r="O34" i="20" s="1"/>
  <c r="M315" i="19"/>
  <c r="P315" i="19" s="1"/>
  <c r="P23" i="19"/>
  <c r="L132" i="20"/>
  <c r="O132" i="20" s="1"/>
  <c r="N14" i="20"/>
  <c r="L119" i="20"/>
  <c r="O119" i="20" s="1"/>
  <c r="P16" i="20"/>
  <c r="O55" i="20"/>
  <c r="M470" i="15"/>
  <c r="P470" i="15" s="1"/>
  <c r="L544" i="16"/>
  <c r="O544" i="16" s="1"/>
  <c r="P90" i="16"/>
  <c r="K364" i="13"/>
  <c r="P328" i="16"/>
  <c r="O69" i="18"/>
  <c r="P264" i="19"/>
  <c r="P687" i="20"/>
  <c r="M685" i="20"/>
  <c r="P685" i="20" s="1"/>
  <c r="O469" i="20"/>
  <c r="P547" i="20"/>
  <c r="N444" i="20"/>
  <c r="P444" i="20" s="1"/>
  <c r="P301" i="20"/>
  <c r="P43" i="20"/>
  <c r="O68" i="11"/>
  <c r="P183" i="13"/>
  <c r="L523" i="17"/>
  <c r="O523" i="17" s="1"/>
  <c r="O56" i="17"/>
  <c r="L298" i="18"/>
  <c r="O298" i="18" s="1"/>
  <c r="P91" i="19"/>
  <c r="K434" i="20"/>
  <c r="I418" i="20"/>
  <c r="K418" i="20" s="1"/>
  <c r="P546" i="20"/>
  <c r="M544" i="20"/>
  <c r="P544" i="20" s="1"/>
  <c r="M88" i="20"/>
  <c r="P88" i="20" s="1"/>
  <c r="P347" i="20"/>
  <c r="M345" i="20"/>
  <c r="P345" i="20" s="1"/>
  <c r="L261" i="20"/>
  <c r="O263" i="20"/>
  <c r="N9" i="20"/>
  <c r="M277" i="20"/>
  <c r="P277" i="20" s="1"/>
  <c r="P279" i="20"/>
  <c r="K288" i="20"/>
  <c r="N66" i="11"/>
  <c r="O66" i="11" s="1"/>
  <c r="M402" i="13"/>
  <c r="P402" i="13" s="1"/>
  <c r="M66" i="16"/>
  <c r="P66" i="16" s="1"/>
  <c r="O66" i="18"/>
  <c r="L629" i="18"/>
  <c r="O629" i="18" s="1"/>
  <c r="N20" i="19"/>
  <c r="N18" i="19" s="1"/>
  <c r="L149" i="20"/>
  <c r="O149" i="20" s="1"/>
  <c r="O422" i="20"/>
  <c r="K226" i="20"/>
  <c r="I180" i="20"/>
  <c r="K180" i="20" s="1"/>
  <c r="O330" i="20"/>
  <c r="L328" i="20"/>
  <c r="O328" i="20" s="1"/>
  <c r="P134" i="20"/>
  <c r="M132" i="20"/>
  <c r="P132" i="20" s="1"/>
  <c r="M149" i="20"/>
  <c r="P149" i="20" s="1"/>
  <c r="P151" i="20"/>
  <c r="O41" i="20"/>
  <c r="L28" i="20"/>
  <c r="O28" i="20" s="1"/>
  <c r="L21" i="20"/>
  <c r="O23" i="20"/>
  <c r="L20" i="20"/>
  <c r="L13" i="20"/>
  <c r="P29" i="20"/>
  <c r="K275" i="20"/>
  <c r="N261" i="16"/>
  <c r="O261" i="16" s="1"/>
  <c r="K433" i="18"/>
  <c r="P351" i="18"/>
  <c r="L523" i="20"/>
  <c r="O523" i="20" s="1"/>
  <c r="O467" i="20"/>
  <c r="K76" i="20"/>
  <c r="I64" i="20"/>
  <c r="K64" i="20" s="1"/>
  <c r="K143" i="20"/>
  <c r="I131" i="20"/>
  <c r="K131" i="20" s="1"/>
  <c r="P317" i="20"/>
  <c r="M315" i="20"/>
  <c r="P315" i="20" s="1"/>
  <c r="L685" i="19"/>
  <c r="O685" i="19" s="1"/>
  <c r="O687" i="19"/>
  <c r="P12" i="20"/>
  <c r="M9" i="20"/>
  <c r="P41" i="20"/>
  <c r="M629" i="18"/>
  <c r="P629" i="18" s="1"/>
  <c r="P56" i="19"/>
  <c r="O43" i="19"/>
  <c r="O547" i="20"/>
  <c r="P467" i="20"/>
  <c r="O419" i="20"/>
  <c r="L277" i="20"/>
  <c r="O277" i="20" s="1"/>
  <c r="O421" i="20"/>
  <c r="O9" i="20"/>
  <c r="P19" i="20"/>
  <c r="O298" i="20"/>
  <c r="N20" i="20"/>
  <c r="N13" i="20"/>
  <c r="N10" i="20" s="1"/>
  <c r="N21" i="20"/>
  <c r="P21" i="20" s="1"/>
  <c r="P446" i="20"/>
  <c r="P24" i="20"/>
  <c r="L544" i="9"/>
  <c r="O544" i="9" s="1"/>
  <c r="P472" i="15"/>
  <c r="L629" i="20"/>
  <c r="O629" i="20" s="1"/>
  <c r="M402" i="20"/>
  <c r="P402" i="20" s="1"/>
  <c r="P404" i="20"/>
  <c r="K174" i="20"/>
  <c r="I164" i="20"/>
  <c r="K164" i="20" s="1"/>
  <c r="M421" i="20"/>
  <c r="P424" i="20"/>
  <c r="M422" i="20"/>
  <c r="P422" i="20" s="1"/>
  <c r="M33" i="20"/>
  <c r="I226" i="19"/>
  <c r="P15" i="20"/>
  <c r="M14" i="20"/>
  <c r="P14" i="20" s="1"/>
  <c r="O55" i="19"/>
  <c r="O33" i="19"/>
  <c r="L31" i="19"/>
  <c r="O31" i="19" s="1"/>
  <c r="L30" i="19"/>
  <c r="O30" i="19" s="1"/>
  <c r="K364" i="11"/>
  <c r="P279" i="13"/>
  <c r="O167" i="14"/>
  <c r="O183" i="17"/>
  <c r="O119" i="18"/>
  <c r="M547" i="19"/>
  <c r="P547" i="19" s="1"/>
  <c r="M546" i="19"/>
  <c r="P549" i="19"/>
  <c r="P168" i="19"/>
  <c r="O469" i="9"/>
  <c r="O300" i="16"/>
  <c r="L685" i="15"/>
  <c r="L16" i="19"/>
  <c r="O149" i="7"/>
  <c r="M657" i="18"/>
  <c r="M655" i="18" s="1"/>
  <c r="P655" i="18" s="1"/>
  <c r="O422" i="18"/>
  <c r="K433" i="19"/>
  <c r="P55" i="19"/>
  <c r="P330" i="19"/>
  <c r="N328" i="19"/>
  <c r="P328" i="19" s="1"/>
  <c r="M467" i="10"/>
  <c r="P467" i="10" s="1"/>
  <c r="O688" i="16"/>
  <c r="O90" i="17"/>
  <c r="P167" i="18"/>
  <c r="K669" i="19"/>
  <c r="O525" i="19"/>
  <c r="L523" i="19"/>
  <c r="O523" i="19" s="1"/>
  <c r="P29" i="19"/>
  <c r="P183" i="19"/>
  <c r="M181" i="19"/>
  <c r="P181" i="19" s="1"/>
  <c r="L88" i="19"/>
  <c r="O88" i="19" s="1"/>
  <c r="O15" i="19"/>
  <c r="K434" i="17"/>
  <c r="M631" i="19"/>
  <c r="P634" i="19"/>
  <c r="M632" i="19"/>
  <c r="P632" i="19" s="1"/>
  <c r="O421" i="19"/>
  <c r="L419" i="19"/>
  <c r="P15" i="19"/>
  <c r="O53" i="19"/>
  <c r="K77" i="19"/>
  <c r="I65" i="19"/>
  <c r="K65" i="19" s="1"/>
  <c r="O12" i="19"/>
  <c r="L9" i="19"/>
  <c r="K76" i="17"/>
  <c r="P687" i="19"/>
  <c r="M685" i="19"/>
  <c r="P685" i="19" s="1"/>
  <c r="P446" i="19"/>
  <c r="M444" i="19"/>
  <c r="P444" i="19" s="1"/>
  <c r="M9" i="19"/>
  <c r="L389" i="19"/>
  <c r="O389" i="19" s="1"/>
  <c r="O391" i="19"/>
  <c r="N9" i="19"/>
  <c r="N11" i="19"/>
  <c r="O134" i="19"/>
  <c r="L132" i="19"/>
  <c r="O132" i="19" s="1"/>
  <c r="O261" i="19"/>
  <c r="O19" i="19"/>
  <c r="P149" i="15"/>
  <c r="O55" i="16"/>
  <c r="P264" i="17"/>
  <c r="L41" i="18"/>
  <c r="M421" i="19"/>
  <c r="P424" i="19"/>
  <c r="M33" i="19"/>
  <c r="M422" i="19"/>
  <c r="P422" i="19" s="1"/>
  <c r="P167" i="19"/>
  <c r="M165" i="19"/>
  <c r="P165" i="19" s="1"/>
  <c r="P279" i="18"/>
  <c r="P345" i="19"/>
  <c r="O29" i="19"/>
  <c r="N16" i="19"/>
  <c r="N14" i="19" s="1"/>
  <c r="N24" i="19"/>
  <c r="O24" i="19" s="1"/>
  <c r="O26" i="19"/>
  <c r="M16" i="19"/>
  <c r="M14" i="19" s="1"/>
  <c r="P26" i="19"/>
  <c r="M24" i="19"/>
  <c r="M18" i="19"/>
  <c r="P18" i="19" s="1"/>
  <c r="L227" i="19"/>
  <c r="O23" i="19"/>
  <c r="L20" i="19"/>
  <c r="O20" i="19" s="1"/>
  <c r="L13" i="19"/>
  <c r="L11" i="19" s="1"/>
  <c r="M261" i="19"/>
  <c r="P261" i="19" s="1"/>
  <c r="P90" i="19"/>
  <c r="M88" i="19"/>
  <c r="P88" i="19" s="1"/>
  <c r="M53" i="19"/>
  <c r="L16" i="15"/>
  <c r="L14" i="15" s="1"/>
  <c r="O467" i="18"/>
  <c r="P277" i="18"/>
  <c r="O91" i="18"/>
  <c r="M467" i="19"/>
  <c r="P467" i="19" s="1"/>
  <c r="P469" i="19"/>
  <c r="L629" i="19"/>
  <c r="O629" i="19" s="1"/>
  <c r="O631" i="19"/>
  <c r="L345" i="19"/>
  <c r="O345" i="19" s="1"/>
  <c r="O347" i="19"/>
  <c r="P657" i="19"/>
  <c r="M655" i="19"/>
  <c r="P655" i="19" s="1"/>
  <c r="P687" i="18"/>
  <c r="M685" i="18"/>
  <c r="P685" i="18" s="1"/>
  <c r="O263" i="12"/>
  <c r="L389" i="17"/>
  <c r="O389" i="17" s="1"/>
  <c r="L34" i="18"/>
  <c r="O34" i="18" s="1"/>
  <c r="N20" i="18"/>
  <c r="N18" i="18" s="1"/>
  <c r="K288" i="18"/>
  <c r="J275" i="18"/>
  <c r="K275" i="18" s="1"/>
  <c r="O134" i="11"/>
  <c r="P347" i="18"/>
  <c r="M132" i="18"/>
  <c r="P132" i="18" s="1"/>
  <c r="M422" i="18"/>
  <c r="P422" i="18" s="1"/>
  <c r="M421" i="18"/>
  <c r="M419" i="18" s="1"/>
  <c r="P419" i="18" s="1"/>
  <c r="M33" i="17"/>
  <c r="P33" i="17" s="1"/>
  <c r="K275" i="17"/>
  <c r="M119" i="18"/>
  <c r="P119" i="18" s="1"/>
  <c r="O347" i="18"/>
  <c r="O264" i="18"/>
  <c r="L30" i="18"/>
  <c r="L30" i="15"/>
  <c r="L28" i="15" s="1"/>
  <c r="P345" i="18"/>
  <c r="O345" i="18"/>
  <c r="O55" i="18"/>
  <c r="L389" i="18"/>
  <c r="O389" i="18" s="1"/>
  <c r="O151" i="17"/>
  <c r="L315" i="18"/>
  <c r="O315" i="18" s="1"/>
  <c r="O317" i="18"/>
  <c r="P549" i="18"/>
  <c r="M546" i="18"/>
  <c r="P546" i="18" s="1"/>
  <c r="M547" i="18"/>
  <c r="P547" i="18" s="1"/>
  <c r="K434" i="11"/>
  <c r="L227" i="13"/>
  <c r="O55" i="13"/>
  <c r="L786" i="14"/>
  <c r="O786" i="14" s="1"/>
  <c r="I418" i="15"/>
  <c r="K418" i="15" s="1"/>
  <c r="O53" i="16"/>
  <c r="M788" i="15"/>
  <c r="P788" i="15" s="1"/>
  <c r="P56" i="17"/>
  <c r="L328" i="17"/>
  <c r="O328" i="17" s="1"/>
  <c r="O55" i="17"/>
  <c r="M88" i="18"/>
  <c r="P88" i="18" s="1"/>
  <c r="I418" i="18"/>
  <c r="K418" i="18" s="1"/>
  <c r="K434" i="18"/>
  <c r="O404" i="18"/>
  <c r="L402" i="18"/>
  <c r="O402" i="18" s="1"/>
  <c r="P15" i="18"/>
  <c r="M9" i="18"/>
  <c r="L227" i="18"/>
  <c r="O125" i="18"/>
  <c r="O12" i="18"/>
  <c r="L9" i="18"/>
  <c r="O134" i="18"/>
  <c r="L132" i="18"/>
  <c r="O132" i="18" s="1"/>
  <c r="P23" i="18"/>
  <c r="M20" i="18"/>
  <c r="M18" i="18" s="1"/>
  <c r="P19" i="18"/>
  <c r="O347" i="11"/>
  <c r="P347" i="11"/>
  <c r="K364" i="15"/>
  <c r="P41" i="14"/>
  <c r="L31" i="16"/>
  <c r="O31" i="16" s="1"/>
  <c r="J364" i="18"/>
  <c r="K364" i="18" s="1"/>
  <c r="K365" i="18"/>
  <c r="N419" i="18"/>
  <c r="N414" i="18" s="1"/>
  <c r="P421" i="18"/>
  <c r="L13" i="18"/>
  <c r="O23" i="18"/>
  <c r="L20" i="18"/>
  <c r="L21" i="18"/>
  <c r="O21" i="18" s="1"/>
  <c r="P181" i="18"/>
  <c r="N14" i="18"/>
  <c r="N9" i="18"/>
  <c r="I131" i="18"/>
  <c r="K131" i="18" s="1"/>
  <c r="K143" i="18"/>
  <c r="O19" i="18"/>
  <c r="O419" i="18"/>
  <c r="P68" i="18"/>
  <c r="M66" i="18"/>
  <c r="P66" i="18" s="1"/>
  <c r="L132" i="11"/>
  <c r="O132" i="11" s="1"/>
  <c r="K417" i="13"/>
  <c r="P134" i="14"/>
  <c r="L419" i="16"/>
  <c r="O419" i="16" s="1"/>
  <c r="P330" i="16"/>
  <c r="M119" i="16"/>
  <c r="P119" i="16" s="1"/>
  <c r="P330" i="18"/>
  <c r="M328" i="18"/>
  <c r="P328" i="18" s="1"/>
  <c r="O41" i="18"/>
  <c r="K237" i="18"/>
  <c r="I226" i="18"/>
  <c r="P43" i="18"/>
  <c r="M41" i="18"/>
  <c r="M261" i="18"/>
  <c r="P263" i="18"/>
  <c r="L28" i="18"/>
  <c r="M33" i="18"/>
  <c r="N261" i="18"/>
  <c r="O261" i="18" s="1"/>
  <c r="O183" i="18"/>
  <c r="L181" i="18"/>
  <c r="O181" i="18" s="1"/>
  <c r="P184" i="16"/>
  <c r="P467" i="18"/>
  <c r="P791" i="18"/>
  <c r="M788" i="18"/>
  <c r="M789" i="18"/>
  <c r="P789" i="18" s="1"/>
  <c r="P545" i="18"/>
  <c r="P300" i="18"/>
  <c r="M298" i="18"/>
  <c r="P298" i="18" s="1"/>
  <c r="K77" i="18"/>
  <c r="I65" i="18"/>
  <c r="K65" i="18" s="1"/>
  <c r="O167" i="18"/>
  <c r="L165" i="18"/>
  <c r="O165" i="18" s="1"/>
  <c r="P446" i="18"/>
  <c r="M444" i="18"/>
  <c r="P444" i="18" s="1"/>
  <c r="O300" i="6"/>
  <c r="K77" i="12"/>
  <c r="L389" i="15"/>
  <c r="O389" i="15" s="1"/>
  <c r="L30" i="16"/>
  <c r="O30" i="16" s="1"/>
  <c r="K364" i="17"/>
  <c r="L328" i="18"/>
  <c r="O328" i="18" s="1"/>
  <c r="O279" i="18"/>
  <c r="L277" i="18"/>
  <c r="O277" i="18" s="1"/>
  <c r="O26" i="18"/>
  <c r="L16" i="18"/>
  <c r="L24" i="18"/>
  <c r="O24" i="18" s="1"/>
  <c r="I164" i="18"/>
  <c r="K164" i="18" s="1"/>
  <c r="K174" i="18"/>
  <c r="O546" i="18"/>
  <c r="L544" i="18"/>
  <c r="O544" i="18" s="1"/>
  <c r="P317" i="18"/>
  <c r="M315" i="18"/>
  <c r="P315" i="18" s="1"/>
  <c r="P26" i="18"/>
  <c r="M16" i="18"/>
  <c r="P16" i="18" s="1"/>
  <c r="N31" i="18"/>
  <c r="O31" i="18" s="1"/>
  <c r="N30" i="18"/>
  <c r="N28" i="18" s="1"/>
  <c r="N13" i="18"/>
  <c r="M165" i="18"/>
  <c r="P165" i="18" s="1"/>
  <c r="M21" i="18"/>
  <c r="P21" i="18" s="1"/>
  <c r="M277" i="14"/>
  <c r="M315" i="16"/>
  <c r="P315" i="16" s="1"/>
  <c r="I226" i="16"/>
  <c r="K226" i="16" s="1"/>
  <c r="K785" i="16"/>
  <c r="L389" i="16"/>
  <c r="O389" i="16" s="1"/>
  <c r="M402" i="17"/>
  <c r="P402" i="17" s="1"/>
  <c r="P279" i="17"/>
  <c r="L227" i="17"/>
  <c r="K143" i="17"/>
  <c r="P261" i="14"/>
  <c r="M277" i="17"/>
  <c r="P277" i="17" s="1"/>
  <c r="L315" i="17"/>
  <c r="O315" i="17" s="1"/>
  <c r="P183" i="17"/>
  <c r="O300" i="17"/>
  <c r="L298" i="17"/>
  <c r="O298" i="17" s="1"/>
  <c r="K77" i="17"/>
  <c r="I65" i="17"/>
  <c r="K65" i="17" s="1"/>
  <c r="N345" i="17"/>
  <c r="O345" i="17" s="1"/>
  <c r="L165" i="17"/>
  <c r="O165" i="17" s="1"/>
  <c r="N181" i="17"/>
  <c r="L119" i="17"/>
  <c r="O119" i="17" s="1"/>
  <c r="O121" i="17"/>
  <c r="O351" i="17"/>
  <c r="I164" i="17"/>
  <c r="K164" i="17" s="1"/>
  <c r="K174" i="17"/>
  <c r="O331" i="17"/>
  <c r="O41" i="17"/>
  <c r="P263" i="16"/>
  <c r="P660" i="16"/>
  <c r="P19" i="17"/>
  <c r="L261" i="17"/>
  <c r="O261" i="17" s="1"/>
  <c r="O263" i="17"/>
  <c r="P121" i="17"/>
  <c r="M119" i="17"/>
  <c r="P119" i="17" s="1"/>
  <c r="O44" i="17"/>
  <c r="M165" i="17"/>
  <c r="P165" i="17" s="1"/>
  <c r="P167" i="17"/>
  <c r="O421" i="17"/>
  <c r="M419" i="17"/>
  <c r="P421" i="17"/>
  <c r="N30" i="17"/>
  <c r="N28" i="17" s="1"/>
  <c r="N31" i="17"/>
  <c r="K433" i="17"/>
  <c r="I417" i="17"/>
  <c r="K417" i="17" s="1"/>
  <c r="L419" i="17"/>
  <c r="P549" i="17"/>
  <c r="M547" i="17"/>
  <c r="P547" i="17" s="1"/>
  <c r="M546" i="17"/>
  <c r="N13" i="17"/>
  <c r="N11" i="17" s="1"/>
  <c r="N20" i="17"/>
  <c r="N18" i="17" s="1"/>
  <c r="O88" i="14"/>
  <c r="P151" i="17"/>
  <c r="M149" i="17"/>
  <c r="P149" i="17" s="1"/>
  <c r="M24" i="17"/>
  <c r="M16" i="17"/>
  <c r="P26" i="17"/>
  <c r="O66" i="17"/>
  <c r="P66" i="17"/>
  <c r="L132" i="17"/>
  <c r="O132" i="17" s="1"/>
  <c r="O134" i="17"/>
  <c r="M688" i="17"/>
  <c r="P688" i="17" s="1"/>
  <c r="M687" i="17"/>
  <c r="P690" i="17"/>
  <c r="M261" i="17"/>
  <c r="P261" i="17" s="1"/>
  <c r="M467" i="17"/>
  <c r="P467" i="17" s="1"/>
  <c r="O469" i="17"/>
  <c r="M629" i="17"/>
  <c r="P629" i="17" s="1"/>
  <c r="N16" i="17"/>
  <c r="N14" i="17" s="1"/>
  <c r="N24" i="17"/>
  <c r="O24" i="17" s="1"/>
  <c r="N9" i="17"/>
  <c r="O68" i="17"/>
  <c r="L30" i="17"/>
  <c r="O33" i="17"/>
  <c r="L444" i="17"/>
  <c r="O444" i="17" s="1"/>
  <c r="O446" i="17"/>
  <c r="P134" i="17"/>
  <c r="P449" i="17"/>
  <c r="M447" i="17"/>
  <c r="P447" i="17" s="1"/>
  <c r="M446" i="17"/>
  <c r="O546" i="17"/>
  <c r="L544" i="17"/>
  <c r="O544" i="17" s="1"/>
  <c r="O788" i="17"/>
  <c r="L786" i="17"/>
  <c r="O786" i="17" s="1"/>
  <c r="M298" i="17"/>
  <c r="P298" i="17" s="1"/>
  <c r="O467" i="17"/>
  <c r="O88" i="16"/>
  <c r="P29" i="17"/>
  <c r="O31" i="17"/>
  <c r="M20" i="17"/>
  <c r="P23" i="17"/>
  <c r="P68" i="17"/>
  <c r="M88" i="17"/>
  <c r="P88" i="17" s="1"/>
  <c r="P90" i="17"/>
  <c r="P330" i="17"/>
  <c r="M328" i="17"/>
  <c r="P328" i="17" s="1"/>
  <c r="I180" i="17"/>
  <c r="K180" i="17" s="1"/>
  <c r="K226" i="17"/>
  <c r="O19" i="17"/>
  <c r="L16" i="17"/>
  <c r="O26" i="17"/>
  <c r="L402" i="17"/>
  <c r="O402" i="17" s="1"/>
  <c r="O655" i="17"/>
  <c r="L277" i="17"/>
  <c r="O277" i="17" s="1"/>
  <c r="O279" i="17"/>
  <c r="L13" i="17"/>
  <c r="L11" i="17" s="1"/>
  <c r="L20" i="17"/>
  <c r="O23" i="17"/>
  <c r="M345" i="17"/>
  <c r="P347" i="17"/>
  <c r="L88" i="17"/>
  <c r="O88" i="17" s="1"/>
  <c r="L9" i="17"/>
  <c r="O12" i="17"/>
  <c r="O631" i="17"/>
  <c r="O657" i="17"/>
  <c r="O330" i="16"/>
  <c r="M41" i="17"/>
  <c r="P43" i="17"/>
  <c r="M9" i="17"/>
  <c r="P12" i="17"/>
  <c r="P55" i="17"/>
  <c r="M53" i="17"/>
  <c r="P53" i="17" s="1"/>
  <c r="L34" i="17"/>
  <c r="O34" i="17" s="1"/>
  <c r="P391" i="17"/>
  <c r="M389" i="17"/>
  <c r="P389" i="17" s="1"/>
  <c r="O43" i="17"/>
  <c r="L21" i="17"/>
  <c r="O21" i="17" s="1"/>
  <c r="M21" i="17"/>
  <c r="P21" i="17" s="1"/>
  <c r="L685" i="17"/>
  <c r="O685" i="17" s="1"/>
  <c r="O629" i="17"/>
  <c r="M655" i="17"/>
  <c r="P655" i="17" s="1"/>
  <c r="L402" i="16"/>
  <c r="O402" i="16" s="1"/>
  <c r="L34" i="16"/>
  <c r="O34" i="16" s="1"/>
  <c r="O469" i="16"/>
  <c r="P55" i="16"/>
  <c r="O183" i="16"/>
  <c r="P43" i="16"/>
  <c r="K288" i="16"/>
  <c r="P121" i="15"/>
  <c r="M119" i="15"/>
  <c r="P119" i="15" s="1"/>
  <c r="P183" i="12"/>
  <c r="O138" i="13"/>
  <c r="O469" i="14"/>
  <c r="P277" i="15"/>
  <c r="K785" i="15"/>
  <c r="N181" i="16"/>
  <c r="P181" i="16" s="1"/>
  <c r="N41" i="16"/>
  <c r="P41" i="16" s="1"/>
  <c r="P264" i="16"/>
  <c r="O90" i="16"/>
  <c r="O447" i="11"/>
  <c r="O298" i="14"/>
  <c r="P421" i="14"/>
  <c r="M389" i="14"/>
  <c r="P389" i="14" s="1"/>
  <c r="O446" i="15"/>
  <c r="M53" i="16"/>
  <c r="P53" i="16" s="1"/>
  <c r="L655" i="16"/>
  <c r="O655" i="16" s="1"/>
  <c r="N24" i="12"/>
  <c r="P687" i="16"/>
  <c r="M345" i="16"/>
  <c r="P345" i="16" s="1"/>
  <c r="O279" i="15"/>
  <c r="N14" i="12"/>
  <c r="P280" i="15"/>
  <c r="L544" i="15"/>
  <c r="O544" i="15" s="1"/>
  <c r="M629" i="16"/>
  <c r="P629" i="16" s="1"/>
  <c r="P634" i="16"/>
  <c r="M786" i="15"/>
  <c r="P786" i="15" s="1"/>
  <c r="K174" i="16"/>
  <c r="L119" i="16"/>
  <c r="O119" i="16" s="1"/>
  <c r="L315" i="12"/>
  <c r="O315" i="12" s="1"/>
  <c r="O347" i="12"/>
  <c r="O134" i="15"/>
  <c r="M632" i="16"/>
  <c r="P632" i="16" s="1"/>
  <c r="N24" i="16"/>
  <c r="N16" i="16"/>
  <c r="N14" i="16" s="1"/>
  <c r="O447" i="8"/>
  <c r="O328" i="14"/>
  <c r="P134" i="15"/>
  <c r="J364" i="16"/>
  <c r="K364" i="16" s="1"/>
  <c r="P24" i="16"/>
  <c r="L66" i="16"/>
  <c r="O66" i="16" s="1"/>
  <c r="M422" i="9"/>
  <c r="P422" i="9" s="1"/>
  <c r="M149" i="9"/>
  <c r="P149" i="9" s="1"/>
  <c r="P55" i="13"/>
  <c r="P149" i="14"/>
  <c r="P91" i="15"/>
  <c r="K275" i="15"/>
  <c r="P300" i="15"/>
  <c r="O347" i="16"/>
  <c r="L132" i="16"/>
  <c r="O132" i="16" s="1"/>
  <c r="L786" i="9"/>
  <c r="O786" i="9" s="1"/>
  <c r="P444" i="11"/>
  <c r="P330" i="15"/>
  <c r="M88" i="16"/>
  <c r="P88" i="16" s="1"/>
  <c r="P300" i="16"/>
  <c r="P279" i="15"/>
  <c r="M470" i="16"/>
  <c r="P470" i="16" s="1"/>
  <c r="M469" i="16"/>
  <c r="L298" i="6"/>
  <c r="P300" i="6"/>
  <c r="O261" i="7"/>
  <c r="M629" i="9"/>
  <c r="P629" i="9" s="1"/>
  <c r="K434" i="8"/>
  <c r="P449" i="11"/>
  <c r="K364" i="12"/>
  <c r="P300" i="12"/>
  <c r="M655" i="16"/>
  <c r="P655" i="16" s="1"/>
  <c r="P657" i="16"/>
  <c r="L402" i="13"/>
  <c r="O402" i="13" s="1"/>
  <c r="P165" i="15"/>
  <c r="L523" i="16"/>
  <c r="O523" i="16" s="1"/>
  <c r="O525" i="16"/>
  <c r="N414" i="16"/>
  <c r="O181" i="14"/>
  <c r="P791" i="16"/>
  <c r="M788" i="16"/>
  <c r="M789" i="16"/>
  <c r="P789" i="16" s="1"/>
  <c r="P419" i="16"/>
  <c r="L41" i="16"/>
  <c r="O43" i="16"/>
  <c r="N9" i="16"/>
  <c r="O12" i="16"/>
  <c r="L9" i="16"/>
  <c r="P19" i="16"/>
  <c r="P449" i="7"/>
  <c r="I64" i="11"/>
  <c r="K64" i="11" s="1"/>
  <c r="O658" i="13"/>
  <c r="M389" i="15"/>
  <c r="P389" i="15" s="1"/>
  <c r="P23" i="15"/>
  <c r="P549" i="16"/>
  <c r="M546" i="16"/>
  <c r="P546" i="16" s="1"/>
  <c r="M547" i="16"/>
  <c r="P547" i="16" s="1"/>
  <c r="O467" i="16"/>
  <c r="P167" i="16"/>
  <c r="M165" i="16"/>
  <c r="P165" i="16" s="1"/>
  <c r="O15" i="16"/>
  <c r="P688" i="16"/>
  <c r="P183" i="16"/>
  <c r="M447" i="7"/>
  <c r="P447" i="7" s="1"/>
  <c r="P263" i="7"/>
  <c r="P424" i="9"/>
  <c r="O33" i="9"/>
  <c r="O43" i="9"/>
  <c r="O345" i="12"/>
  <c r="I226" i="12"/>
  <c r="K226" i="12" s="1"/>
  <c r="N53" i="13"/>
  <c r="P53" i="13" s="1"/>
  <c r="O300" i="14"/>
  <c r="P545" i="16"/>
  <c r="O345" i="16"/>
  <c r="L315" i="16"/>
  <c r="O315" i="16" s="1"/>
  <c r="O29" i="16"/>
  <c r="O165" i="16"/>
  <c r="I226" i="8"/>
  <c r="K226" i="8" s="1"/>
  <c r="M469" i="8"/>
  <c r="M467" i="8" s="1"/>
  <c r="P467" i="8" s="1"/>
  <c r="L53" i="11"/>
  <c r="O53" i="11" s="1"/>
  <c r="N66" i="15"/>
  <c r="O66" i="15" s="1"/>
  <c r="L119" i="15"/>
  <c r="O119" i="15" s="1"/>
  <c r="K365" i="16"/>
  <c r="N277" i="16"/>
  <c r="O277" i="16" s="1"/>
  <c r="P279" i="16"/>
  <c r="O279" i="16"/>
  <c r="I418" i="16"/>
  <c r="K418" i="16" s="1"/>
  <c r="K434" i="16"/>
  <c r="P44" i="16"/>
  <c r="L227" i="16"/>
  <c r="O238" i="16"/>
  <c r="P23" i="16"/>
  <c r="M20" i="16"/>
  <c r="M18" i="16" s="1"/>
  <c r="P167" i="7"/>
  <c r="M419" i="9"/>
  <c r="P419" i="9" s="1"/>
  <c r="P634" i="9"/>
  <c r="O66" i="9"/>
  <c r="O631" i="11"/>
  <c r="O469" i="12"/>
  <c r="K275" i="12"/>
  <c r="O330" i="13"/>
  <c r="P88" i="14"/>
  <c r="L402" i="15"/>
  <c r="O402" i="15" s="1"/>
  <c r="L132" i="15"/>
  <c r="O132" i="15" s="1"/>
  <c r="L277" i="15"/>
  <c r="O277" i="15" s="1"/>
  <c r="O685" i="16"/>
  <c r="P449" i="16"/>
  <c r="M446" i="16"/>
  <c r="M447" i="16"/>
  <c r="P447" i="16" s="1"/>
  <c r="M33" i="16"/>
  <c r="N298" i="16"/>
  <c r="O317" i="15"/>
  <c r="L315" i="15"/>
  <c r="O315" i="15" s="1"/>
  <c r="N20" i="16"/>
  <c r="N18" i="16" s="1"/>
  <c r="N13" i="16"/>
  <c r="N21" i="16"/>
  <c r="M21" i="16"/>
  <c r="P472" i="8"/>
  <c r="K364" i="9"/>
  <c r="M632" i="9"/>
  <c r="P632" i="9" s="1"/>
  <c r="P44" i="9"/>
  <c r="O330" i="9"/>
  <c r="P183" i="14"/>
  <c r="K417" i="15"/>
  <c r="O23" i="16"/>
  <c r="L20" i="16"/>
  <c r="L13" i="16"/>
  <c r="L21" i="16"/>
  <c r="O26" i="16"/>
  <c r="L16" i="16"/>
  <c r="L24" i="16"/>
  <c r="P26" i="16"/>
  <c r="M16" i="16"/>
  <c r="P12" i="16"/>
  <c r="M9" i="16"/>
  <c r="M149" i="16"/>
  <c r="P149" i="16" s="1"/>
  <c r="K364" i="10"/>
  <c r="O183" i="11"/>
  <c r="O69" i="15"/>
  <c r="N298" i="15"/>
  <c r="P298" i="15" s="1"/>
  <c r="P181" i="15"/>
  <c r="O44" i="15"/>
  <c r="M444" i="15"/>
  <c r="P444" i="15" s="1"/>
  <c r="O263" i="11"/>
  <c r="K288" i="15"/>
  <c r="P167" i="15"/>
  <c r="P328" i="15"/>
  <c r="O263" i="9"/>
  <c r="P348" i="13"/>
  <c r="K785" i="12"/>
  <c r="M547" i="15"/>
  <c r="P547" i="15" s="1"/>
  <c r="P549" i="15"/>
  <c r="M546" i="15"/>
  <c r="P546" i="15" s="1"/>
  <c r="P132" i="11"/>
  <c r="P181" i="14"/>
  <c r="P168" i="15"/>
  <c r="K77" i="15"/>
  <c r="I65" i="15"/>
  <c r="K65" i="15" s="1"/>
  <c r="K275" i="8"/>
  <c r="O90" i="13"/>
  <c r="N328" i="13"/>
  <c r="P328" i="13" s="1"/>
  <c r="P151" i="14"/>
  <c r="P43" i="14"/>
  <c r="O183" i="14"/>
  <c r="P264" i="15"/>
  <c r="P183" i="15"/>
  <c r="L34" i="15"/>
  <c r="O34" i="15" s="1"/>
  <c r="O36" i="15"/>
  <c r="L655" i="15"/>
  <c r="O655" i="15" s="1"/>
  <c r="P151" i="15"/>
  <c r="L181" i="15"/>
  <c r="O181" i="15" s="1"/>
  <c r="O183" i="15"/>
  <c r="P15" i="15"/>
  <c r="O348" i="15"/>
  <c r="P26" i="15"/>
  <c r="M16" i="15"/>
  <c r="M14" i="15" s="1"/>
  <c r="N9" i="15"/>
  <c r="N16" i="15"/>
  <c r="N14" i="15" s="1"/>
  <c r="N24" i="15"/>
  <c r="O24" i="15" s="1"/>
  <c r="L655" i="10"/>
  <c r="O655" i="10" s="1"/>
  <c r="I164" i="10"/>
  <c r="K164" i="10" s="1"/>
  <c r="L181" i="11"/>
  <c r="O181" i="11" s="1"/>
  <c r="M119" i="12"/>
  <c r="P119" i="12" s="1"/>
  <c r="M315" i="13"/>
  <c r="P315" i="13" s="1"/>
  <c r="M345" i="13"/>
  <c r="P345" i="13" s="1"/>
  <c r="L629" i="13"/>
  <c r="O629" i="13" s="1"/>
  <c r="P277" i="14"/>
  <c r="P687" i="15"/>
  <c r="M685" i="15"/>
  <c r="P685" i="15" s="1"/>
  <c r="O685" i="15"/>
  <c r="O421" i="15"/>
  <c r="L419" i="15"/>
  <c r="M9" i="15"/>
  <c r="O351" i="15"/>
  <c r="M20" i="15"/>
  <c r="P263" i="15"/>
  <c r="N261" i="15"/>
  <c r="P261" i="15" s="1"/>
  <c r="L88" i="15"/>
  <c r="O88" i="15" s="1"/>
  <c r="O90" i="15"/>
  <c r="P43" i="15"/>
  <c r="M41" i="15"/>
  <c r="P68" i="15"/>
  <c r="N30" i="15"/>
  <c r="N28" i="15" s="1"/>
  <c r="N31" i="15"/>
  <c r="O31" i="15" s="1"/>
  <c r="P43" i="5"/>
  <c r="P261" i="7"/>
  <c r="O687" i="12"/>
  <c r="L34" i="12"/>
  <c r="O34" i="12" s="1"/>
  <c r="O168" i="14"/>
  <c r="P90" i="14"/>
  <c r="K433" i="15"/>
  <c r="L165" i="15"/>
  <c r="O165" i="15" s="1"/>
  <c r="O167" i="15"/>
  <c r="P263" i="14"/>
  <c r="M24" i="15"/>
  <c r="O19" i="15"/>
  <c r="O263" i="15"/>
  <c r="O134" i="7"/>
  <c r="O263" i="8"/>
  <c r="O134" i="13"/>
  <c r="O43" i="14"/>
  <c r="M53" i="14"/>
  <c r="P53" i="14" s="1"/>
  <c r="P545" i="15"/>
  <c r="P347" i="15"/>
  <c r="N345" i="15"/>
  <c r="O330" i="15"/>
  <c r="L328" i="15"/>
  <c r="O328" i="15" s="1"/>
  <c r="P424" i="15"/>
  <c r="M421" i="15"/>
  <c r="M422" i="15"/>
  <c r="P422" i="15" s="1"/>
  <c r="M33" i="15"/>
  <c r="O135" i="15"/>
  <c r="O91" i="15"/>
  <c r="L41" i="15"/>
  <c r="O43" i="15"/>
  <c r="L655" i="8"/>
  <c r="O655" i="8" s="1"/>
  <c r="O151" i="9"/>
  <c r="P184" i="11"/>
  <c r="L34" i="13"/>
  <c r="O34" i="13" s="1"/>
  <c r="O41" i="14"/>
  <c r="O525" i="15"/>
  <c r="L523" i="15"/>
  <c r="O523" i="15" s="1"/>
  <c r="L345" i="15"/>
  <c r="O347" i="15"/>
  <c r="P90" i="15"/>
  <c r="M88" i="15"/>
  <c r="P88" i="15" s="1"/>
  <c r="N53" i="15"/>
  <c r="P53" i="15" s="1"/>
  <c r="I64" i="15"/>
  <c r="K64" i="15" s="1"/>
  <c r="K76" i="15"/>
  <c r="N20" i="15"/>
  <c r="N18" i="15" s="1"/>
  <c r="N13" i="15"/>
  <c r="P132" i="15"/>
  <c r="L20" i="15"/>
  <c r="L13" i="15"/>
  <c r="L11" i="15" s="1"/>
  <c r="O23" i="15"/>
  <c r="O26" i="15"/>
  <c r="N13" i="11"/>
  <c r="N11" i="11" s="1"/>
  <c r="O55" i="12"/>
  <c r="P167" i="11"/>
  <c r="O121" i="11"/>
  <c r="O345" i="14"/>
  <c r="P789" i="15"/>
  <c r="P634" i="15"/>
  <c r="M631" i="15"/>
  <c r="M632" i="15"/>
  <c r="P632" i="15" s="1"/>
  <c r="P345" i="15"/>
  <c r="P29" i="15"/>
  <c r="K237" i="15"/>
  <c r="I226" i="15"/>
  <c r="O12" i="15"/>
  <c r="L9" i="15"/>
  <c r="O238" i="15"/>
  <c r="L227" i="15"/>
  <c r="O300" i="15"/>
  <c r="L298" i="15"/>
  <c r="P184" i="15"/>
  <c r="O151" i="15"/>
  <c r="L149" i="15"/>
  <c r="O149" i="15" s="1"/>
  <c r="N21" i="15"/>
  <c r="P21" i="15" s="1"/>
  <c r="O55" i="15"/>
  <c r="L53" i="15"/>
  <c r="L444" i="5"/>
  <c r="O444" i="5" s="1"/>
  <c r="O317" i="6"/>
  <c r="K364" i="7"/>
  <c r="O151" i="12"/>
  <c r="P90" i="12"/>
  <c r="L149" i="13"/>
  <c r="O149" i="13" s="1"/>
  <c r="O238" i="13"/>
  <c r="M444" i="14"/>
  <c r="P444" i="14" s="1"/>
  <c r="M447" i="14"/>
  <c r="P447" i="14" s="1"/>
  <c r="O134" i="14"/>
  <c r="O90" i="14"/>
  <c r="O687" i="6"/>
  <c r="O277" i="7"/>
  <c r="P263" i="10"/>
  <c r="M315" i="14"/>
  <c r="P315" i="14" s="1"/>
  <c r="P317" i="14"/>
  <c r="P279" i="4"/>
  <c r="P317" i="6"/>
  <c r="O263" i="10"/>
  <c r="N277" i="13"/>
  <c r="P277" i="13" s="1"/>
  <c r="P264" i="13"/>
  <c r="P168" i="13"/>
  <c r="O657" i="13"/>
  <c r="O167" i="13"/>
  <c r="P449" i="14"/>
  <c r="K275" i="14"/>
  <c r="L165" i="14"/>
  <c r="O165" i="14" s="1"/>
  <c r="I226" i="14"/>
  <c r="I180" i="14" s="1"/>
  <c r="K180" i="14" s="1"/>
  <c r="O391" i="14"/>
  <c r="L389" i="14"/>
  <c r="O389" i="14" s="1"/>
  <c r="K77" i="14"/>
  <c r="I65" i="14"/>
  <c r="K65" i="14" s="1"/>
  <c r="O21" i="14"/>
  <c r="P121" i="14"/>
  <c r="M119" i="14"/>
  <c r="P119" i="14" s="1"/>
  <c r="M298" i="4"/>
  <c r="P298" i="4" s="1"/>
  <c r="P263" i="3"/>
  <c r="O347" i="9"/>
  <c r="L786" i="10"/>
  <c r="O786" i="10" s="1"/>
  <c r="P634" i="12"/>
  <c r="O36" i="12"/>
  <c r="L119" i="12"/>
  <c r="O119" i="12" s="1"/>
  <c r="O264" i="12"/>
  <c r="P261" i="13"/>
  <c r="O56" i="12"/>
  <c r="K275" i="13"/>
  <c r="P330" i="13"/>
  <c r="O687" i="14"/>
  <c r="L685" i="14"/>
  <c r="O685" i="14" s="1"/>
  <c r="P347" i="14"/>
  <c r="O347" i="14"/>
  <c r="L523" i="14"/>
  <c r="P351" i="14"/>
  <c r="O351" i="14"/>
  <c r="M629" i="14"/>
  <c r="P629" i="14" s="1"/>
  <c r="P330" i="14"/>
  <c r="O330" i="14"/>
  <c r="K288" i="14"/>
  <c r="P29" i="14"/>
  <c r="K559" i="14"/>
  <c r="I543" i="14"/>
  <c r="K543" i="14" s="1"/>
  <c r="O263" i="14"/>
  <c r="L261" i="14"/>
  <c r="O261" i="14" s="1"/>
  <c r="O19" i="14"/>
  <c r="P345" i="14"/>
  <c r="O56" i="10"/>
  <c r="P23" i="11"/>
  <c r="O23" i="11"/>
  <c r="O261" i="12"/>
  <c r="I64" i="13"/>
  <c r="K64" i="13" s="1"/>
  <c r="L31" i="13"/>
  <c r="O31" i="13" s="1"/>
  <c r="P263" i="13"/>
  <c r="O261" i="13"/>
  <c r="K77" i="13"/>
  <c r="O422" i="14"/>
  <c r="P422" i="14"/>
  <c r="P328" i="14"/>
  <c r="N414" i="14"/>
  <c r="M165" i="14"/>
  <c r="P165" i="14" s="1"/>
  <c r="P167" i="14"/>
  <c r="O55" i="14"/>
  <c r="L53" i="14"/>
  <c r="O26" i="14"/>
  <c r="L16" i="14"/>
  <c r="K433" i="14"/>
  <c r="I417" i="14"/>
  <c r="K417" i="14" s="1"/>
  <c r="O279" i="14"/>
  <c r="L277" i="14"/>
  <c r="O277" i="14" s="1"/>
  <c r="P419" i="14"/>
  <c r="O263" i="3"/>
  <c r="O330" i="5"/>
  <c r="P165" i="4"/>
  <c r="K364" i="4"/>
  <c r="P69" i="11"/>
  <c r="O298" i="12"/>
  <c r="P348" i="14"/>
  <c r="O348" i="14"/>
  <c r="P549" i="14"/>
  <c r="M547" i="14"/>
  <c r="P547" i="14" s="1"/>
  <c r="M546" i="14"/>
  <c r="P546" i="14" s="1"/>
  <c r="M33" i="14"/>
  <c r="P331" i="14"/>
  <c r="O331" i="14"/>
  <c r="L149" i="14"/>
  <c r="O149" i="14" s="1"/>
  <c r="L13" i="14"/>
  <c r="L11" i="14" s="1"/>
  <c r="O23" i="14"/>
  <c r="L20" i="14"/>
  <c r="L18" i="14" s="1"/>
  <c r="M24" i="14"/>
  <c r="M16" i="14"/>
  <c r="P26" i="14"/>
  <c r="P23" i="14"/>
  <c r="M20" i="14"/>
  <c r="M18" i="14" s="1"/>
  <c r="N9" i="14"/>
  <c r="L9" i="14"/>
  <c r="O12" i="14"/>
  <c r="P19" i="14"/>
  <c r="O657" i="14"/>
  <c r="L655" i="14"/>
  <c r="O655" i="14" s="1"/>
  <c r="O328" i="5"/>
  <c r="L53" i="13"/>
  <c r="P469" i="14"/>
  <c r="M467" i="14"/>
  <c r="P467" i="14" s="1"/>
  <c r="O33" i="14"/>
  <c r="L31" i="14"/>
  <c r="O31" i="14" s="1"/>
  <c r="L30" i="14"/>
  <c r="M21" i="14"/>
  <c r="P21" i="14" s="1"/>
  <c r="O238" i="14"/>
  <c r="L227" i="14"/>
  <c r="P330" i="5"/>
  <c r="O121" i="6"/>
  <c r="O134" i="9"/>
  <c r="L389" i="12"/>
  <c r="O389" i="12" s="1"/>
  <c r="I418" i="14"/>
  <c r="K418" i="14" s="1"/>
  <c r="K434" i="14"/>
  <c r="P545" i="14"/>
  <c r="K364" i="14"/>
  <c r="P300" i="14"/>
  <c r="M298" i="14"/>
  <c r="P298" i="14" s="1"/>
  <c r="O36" i="14"/>
  <c r="L34" i="14"/>
  <c r="O34" i="14" s="1"/>
  <c r="N20" i="14"/>
  <c r="N18" i="14" s="1"/>
  <c r="N13" i="14"/>
  <c r="O121" i="14"/>
  <c r="L119" i="14"/>
  <c r="O119" i="14" s="1"/>
  <c r="O68" i="14"/>
  <c r="K143" i="14"/>
  <c r="I131" i="14"/>
  <c r="K131" i="14" s="1"/>
  <c r="N16" i="14"/>
  <c r="N14" i="14" s="1"/>
  <c r="N24" i="14"/>
  <c r="O24" i="14" s="1"/>
  <c r="P660" i="14"/>
  <c r="M657" i="14"/>
  <c r="M658" i="14"/>
  <c r="P658" i="14" s="1"/>
  <c r="N66" i="14"/>
  <c r="K434" i="13"/>
  <c r="I418" i="13"/>
  <c r="K418" i="13" s="1"/>
  <c r="P165" i="13"/>
  <c r="O300" i="12"/>
  <c r="L685" i="10"/>
  <c r="O685" i="10" s="1"/>
  <c r="P300" i="10"/>
  <c r="P168" i="11"/>
  <c r="M422" i="12"/>
  <c r="P422" i="12" s="1"/>
  <c r="P68" i="12"/>
  <c r="O43" i="12"/>
  <c r="O263" i="13"/>
  <c r="M119" i="13"/>
  <c r="P119" i="13" s="1"/>
  <c r="L315" i="13"/>
  <c r="O315" i="13" s="1"/>
  <c r="L419" i="13"/>
  <c r="O419" i="13" s="1"/>
  <c r="L165" i="13"/>
  <c r="O165" i="13" s="1"/>
  <c r="L88" i="13"/>
  <c r="O88" i="13" s="1"/>
  <c r="P184" i="13"/>
  <c r="L132" i="3"/>
  <c r="O132" i="3" s="1"/>
  <c r="M261" i="9"/>
  <c r="O183" i="10"/>
  <c r="O328" i="10"/>
  <c r="M632" i="12"/>
  <c r="P632" i="12" s="1"/>
  <c r="P167" i="12"/>
  <c r="O68" i="12"/>
  <c r="P134" i="11"/>
  <c r="O183" i="12"/>
  <c r="O121" i="13"/>
  <c r="L119" i="13"/>
  <c r="O119" i="13" s="1"/>
  <c r="P167" i="13"/>
  <c r="M547" i="13"/>
  <c r="P547" i="13" s="1"/>
  <c r="M546" i="13"/>
  <c r="O55" i="6"/>
  <c r="O298" i="11"/>
  <c r="L419" i="12"/>
  <c r="O419" i="12" s="1"/>
  <c r="P301" i="12"/>
  <c r="O279" i="12"/>
  <c r="O347" i="8"/>
  <c r="P55" i="6"/>
  <c r="K77" i="11"/>
  <c r="P66" i="12"/>
  <c r="P151" i="13"/>
  <c r="M447" i="13"/>
  <c r="P447" i="13" s="1"/>
  <c r="M446" i="13"/>
  <c r="P657" i="13"/>
  <c r="M655" i="13"/>
  <c r="P655" i="13" s="1"/>
  <c r="L315" i="8"/>
  <c r="O315" i="8" s="1"/>
  <c r="O167" i="8"/>
  <c r="P68" i="9"/>
  <c r="P149" i="13"/>
  <c r="K433" i="13"/>
  <c r="L345" i="13"/>
  <c r="O345" i="13" s="1"/>
  <c r="K174" i="13"/>
  <c r="I164" i="13"/>
  <c r="K164" i="13" s="1"/>
  <c r="L11" i="13"/>
  <c r="O279" i="11"/>
  <c r="N41" i="13"/>
  <c r="P43" i="13"/>
  <c r="O43" i="13"/>
  <c r="P15" i="13"/>
  <c r="P26" i="13"/>
  <c r="M16" i="13"/>
  <c r="P16" i="13" s="1"/>
  <c r="P134" i="13"/>
  <c r="O330" i="10"/>
  <c r="P66" i="11"/>
  <c r="N20" i="11"/>
  <c r="N18" i="11" s="1"/>
  <c r="M20" i="11"/>
  <c r="M18" i="11" s="1"/>
  <c r="L655" i="11"/>
  <c r="O655" i="11" s="1"/>
  <c r="P277" i="11"/>
  <c r="O300" i="11"/>
  <c r="O90" i="12"/>
  <c r="M298" i="12"/>
  <c r="P298" i="12" s="1"/>
  <c r="O546" i="12"/>
  <c r="O470" i="13"/>
  <c r="O786" i="13"/>
  <c r="P658" i="13"/>
  <c r="P391" i="13"/>
  <c r="M389" i="13"/>
  <c r="P389" i="13" s="1"/>
  <c r="N181" i="13"/>
  <c r="O181" i="13" s="1"/>
  <c r="L66" i="13"/>
  <c r="O68" i="13"/>
  <c r="P23" i="13"/>
  <c r="M20" i="13"/>
  <c r="O183" i="13"/>
  <c r="L24" i="13"/>
  <c r="N14" i="13"/>
  <c r="O525" i="13"/>
  <c r="L523" i="13"/>
  <c r="O523" i="13" s="1"/>
  <c r="L544" i="6"/>
  <c r="O544" i="6" s="1"/>
  <c r="O90" i="6"/>
  <c r="I164" i="8"/>
  <c r="K164" i="8" s="1"/>
  <c r="O547" i="10"/>
  <c r="M447" i="11"/>
  <c r="P447" i="11" s="1"/>
  <c r="L21" i="11"/>
  <c r="O21" i="11" s="1"/>
  <c r="L20" i="12"/>
  <c r="L18" i="12" s="1"/>
  <c r="O23" i="12"/>
  <c r="L277" i="13"/>
  <c r="O279" i="13"/>
  <c r="N24" i="13"/>
  <c r="P424" i="13"/>
  <c r="M421" i="13"/>
  <c r="M422" i="13"/>
  <c r="P422" i="13" s="1"/>
  <c r="M33" i="13"/>
  <c r="K434" i="2"/>
  <c r="M788" i="6"/>
  <c r="P788" i="6" s="1"/>
  <c r="P345" i="7"/>
  <c r="P152" i="7"/>
  <c r="O328" i="11"/>
  <c r="L20" i="11"/>
  <c r="L18" i="11" s="1"/>
  <c r="P280" i="12"/>
  <c r="L21" i="12"/>
  <c r="L16" i="13"/>
  <c r="O16" i="13" s="1"/>
  <c r="O26" i="13"/>
  <c r="P29" i="13"/>
  <c r="N132" i="13"/>
  <c r="O132" i="13" s="1"/>
  <c r="P19" i="13"/>
  <c r="K143" i="13"/>
  <c r="I131" i="13"/>
  <c r="K131" i="13" s="1"/>
  <c r="M24" i="13"/>
  <c r="P791" i="6"/>
  <c r="K785" i="7"/>
  <c r="P90" i="10"/>
  <c r="L181" i="12"/>
  <c r="O181" i="12" s="1"/>
  <c r="O546" i="13"/>
  <c r="L544" i="13"/>
  <c r="O544" i="13" s="1"/>
  <c r="O446" i="13"/>
  <c r="L444" i="13"/>
  <c r="O444" i="13" s="1"/>
  <c r="P791" i="13"/>
  <c r="M788" i="13"/>
  <c r="M789" i="13"/>
  <c r="P789" i="13" s="1"/>
  <c r="N28" i="13"/>
  <c r="P90" i="13"/>
  <c r="M88" i="13"/>
  <c r="P88" i="13" s="1"/>
  <c r="O19" i="13"/>
  <c r="L18" i="13"/>
  <c r="O33" i="13"/>
  <c r="L30" i="13"/>
  <c r="O30" i="13" s="1"/>
  <c r="P135" i="13"/>
  <c r="O9" i="13"/>
  <c r="L34" i="10"/>
  <c r="O34" i="10" s="1"/>
  <c r="M629" i="11"/>
  <c r="P629" i="11" s="1"/>
  <c r="P446" i="11"/>
  <c r="P328" i="10"/>
  <c r="L30" i="11"/>
  <c r="L28" i="11" s="1"/>
  <c r="O44" i="11"/>
  <c r="L786" i="12"/>
  <c r="O786" i="12" s="1"/>
  <c r="O330" i="12"/>
  <c r="P168" i="12"/>
  <c r="P328" i="12"/>
  <c r="M402" i="12"/>
  <c r="P402" i="12" s="1"/>
  <c r="P472" i="13"/>
  <c r="M469" i="13"/>
  <c r="M470" i="13"/>
  <c r="P470" i="13" s="1"/>
  <c r="P631" i="13"/>
  <c r="M629" i="13"/>
  <c r="P629" i="13" s="1"/>
  <c r="O467" i="13"/>
  <c r="O29" i="13"/>
  <c r="I226" i="13"/>
  <c r="N13" i="13"/>
  <c r="N21" i="13"/>
  <c r="P21" i="13" s="1"/>
  <c r="N20" i="13"/>
  <c r="N18" i="13" s="1"/>
  <c r="O15" i="13"/>
  <c r="M9" i="13"/>
  <c r="P788" i="12"/>
  <c r="M786" i="12"/>
  <c r="P786" i="12" s="1"/>
  <c r="P345" i="6"/>
  <c r="O151" i="7"/>
  <c r="O119" i="11"/>
  <c r="M467" i="12"/>
  <c r="P467" i="12" s="1"/>
  <c r="P330" i="12"/>
  <c r="I64" i="12"/>
  <c r="K64" i="12" s="1"/>
  <c r="N53" i="12"/>
  <c r="O53" i="12" s="1"/>
  <c r="O657" i="12"/>
  <c r="L655" i="12"/>
  <c r="O655" i="12" s="1"/>
  <c r="N41" i="12"/>
  <c r="O41" i="12" s="1"/>
  <c r="P184" i="6"/>
  <c r="P347" i="10"/>
  <c r="L402" i="10"/>
  <c r="O402" i="10" s="1"/>
  <c r="L328" i="12"/>
  <c r="O328" i="12" s="1"/>
  <c r="O88" i="12"/>
  <c r="M165" i="12"/>
  <c r="P165" i="12" s="1"/>
  <c r="M53" i="6"/>
  <c r="P53" i="6" s="1"/>
  <c r="P151" i="7"/>
  <c r="P424" i="11"/>
  <c r="O404" i="12"/>
  <c r="L402" i="12"/>
  <c r="O402" i="12" s="1"/>
  <c r="L786" i="2"/>
  <c r="O786" i="2" s="1"/>
  <c r="L402" i="6"/>
  <c r="O402" i="6" s="1"/>
  <c r="L34" i="9"/>
  <c r="O34" i="9" s="1"/>
  <c r="P55" i="8"/>
  <c r="K131" i="10"/>
  <c r="M422" i="11"/>
  <c r="P422" i="11" s="1"/>
  <c r="O167" i="11"/>
  <c r="O261" i="11"/>
  <c r="M421" i="12"/>
  <c r="P421" i="12" s="1"/>
  <c r="L523" i="12"/>
  <c r="O523" i="12" s="1"/>
  <c r="P546" i="12"/>
  <c r="M544" i="12"/>
  <c r="P544" i="12" s="1"/>
  <c r="P43" i="6"/>
  <c r="M132" i="7"/>
  <c r="P132" i="7" s="1"/>
  <c r="O44" i="8"/>
  <c r="O90" i="8"/>
  <c r="M298" i="10"/>
  <c r="P298" i="10" s="1"/>
  <c r="M33" i="12"/>
  <c r="P33" i="12" s="1"/>
  <c r="P181" i="12"/>
  <c r="P264" i="12"/>
  <c r="P9" i="12"/>
  <c r="M657" i="12"/>
  <c r="M658" i="12"/>
  <c r="P658" i="12" s="1"/>
  <c r="P660" i="12"/>
  <c r="L227" i="12"/>
  <c r="O238" i="12"/>
  <c r="M132" i="12"/>
  <c r="P132" i="12" s="1"/>
  <c r="L11" i="12"/>
  <c r="L467" i="6"/>
  <c r="O467" i="6" s="1"/>
  <c r="O134" i="8"/>
  <c r="O345" i="10"/>
  <c r="P90" i="9"/>
  <c r="O165" i="11"/>
  <c r="P21" i="11"/>
  <c r="M345" i="11"/>
  <c r="P345" i="11" s="1"/>
  <c r="K434" i="12"/>
  <c r="I418" i="12"/>
  <c r="K418" i="12" s="1"/>
  <c r="O90" i="11"/>
  <c r="O347" i="10"/>
  <c r="I180" i="10"/>
  <c r="K180" i="10" s="1"/>
  <c r="O88" i="11"/>
  <c r="P165" i="11"/>
  <c r="P391" i="12"/>
  <c r="M389" i="12"/>
  <c r="P389" i="12" s="1"/>
  <c r="O29" i="12"/>
  <c r="L28" i="12"/>
  <c r="O28" i="12" s="1"/>
  <c r="P263" i="11"/>
  <c r="M261" i="11"/>
  <c r="P261" i="11" s="1"/>
  <c r="P121" i="11"/>
  <c r="M119" i="11"/>
  <c r="P119" i="11" s="1"/>
  <c r="O59" i="12"/>
  <c r="P151" i="12"/>
  <c r="L66" i="12"/>
  <c r="K433" i="11"/>
  <c r="P449" i="12"/>
  <c r="M446" i="12"/>
  <c r="M447" i="12"/>
  <c r="P447" i="12" s="1"/>
  <c r="P688" i="12"/>
  <c r="P263" i="12"/>
  <c r="M261" i="12"/>
  <c r="P261" i="12" s="1"/>
  <c r="P55" i="12"/>
  <c r="M53" i="12"/>
  <c r="O15" i="12"/>
  <c r="N21" i="12"/>
  <c r="P21" i="12" s="1"/>
  <c r="N13" i="12"/>
  <c r="N20" i="12"/>
  <c r="P15" i="12"/>
  <c r="M16" i="11"/>
  <c r="M14" i="11" s="1"/>
  <c r="M24" i="11"/>
  <c r="P24" i="11" s="1"/>
  <c r="P279" i="12"/>
  <c r="N277" i="12"/>
  <c r="P277" i="12" s="1"/>
  <c r="P26" i="12"/>
  <c r="M16" i="12"/>
  <c r="P16" i="12" s="1"/>
  <c r="M24" i="12"/>
  <c r="O134" i="12"/>
  <c r="L132" i="12"/>
  <c r="O132" i="12" s="1"/>
  <c r="P23" i="12"/>
  <c r="M20" i="12"/>
  <c r="L328" i="9"/>
  <c r="O328" i="9" s="1"/>
  <c r="M469" i="9"/>
  <c r="M467" i="9" s="1"/>
  <c r="P467" i="9" s="1"/>
  <c r="K374" i="10"/>
  <c r="M389" i="10"/>
  <c r="P389" i="10" s="1"/>
  <c r="L786" i="11"/>
  <c r="O786" i="11" s="1"/>
  <c r="L277" i="11"/>
  <c r="O277" i="11" s="1"/>
  <c r="N414" i="12"/>
  <c r="P687" i="12"/>
  <c r="M685" i="12"/>
  <c r="P685" i="12" s="1"/>
  <c r="M41" i="12"/>
  <c r="P43" i="12"/>
  <c r="L9" i="12"/>
  <c r="P317" i="12"/>
  <c r="M315" i="12"/>
  <c r="P315" i="12" s="1"/>
  <c r="O91" i="12"/>
  <c r="P91" i="12"/>
  <c r="P634" i="6"/>
  <c r="P472" i="9"/>
  <c r="K143" i="10"/>
  <c r="O300" i="10"/>
  <c r="K433" i="12"/>
  <c r="J417" i="12"/>
  <c r="K417" i="12" s="1"/>
  <c r="L16" i="12"/>
  <c r="O16" i="12" s="1"/>
  <c r="O26" i="12"/>
  <c r="L24" i="12"/>
  <c r="O330" i="11"/>
  <c r="N149" i="12"/>
  <c r="P149" i="12" s="1"/>
  <c r="P29" i="12"/>
  <c r="L165" i="12"/>
  <c r="O165" i="12" s="1"/>
  <c r="O167" i="12"/>
  <c r="P88" i="12"/>
  <c r="M345" i="12"/>
  <c r="P345" i="12" s="1"/>
  <c r="P347" i="12"/>
  <c r="P167" i="6"/>
  <c r="L34" i="7"/>
  <c r="O34" i="7" s="1"/>
  <c r="O469" i="5"/>
  <c r="P91" i="6"/>
  <c r="M88" i="9"/>
  <c r="P88" i="9" s="1"/>
  <c r="P66" i="8"/>
  <c r="P391" i="9"/>
  <c r="N41" i="9"/>
  <c r="O41" i="9" s="1"/>
  <c r="L30" i="9"/>
  <c r="O30" i="9" s="1"/>
  <c r="L181" i="10"/>
  <c r="O181" i="10" s="1"/>
  <c r="O348" i="10"/>
  <c r="P68" i="10"/>
  <c r="O331" i="9"/>
  <c r="O121" i="9"/>
  <c r="M402" i="10"/>
  <c r="P402" i="10" s="1"/>
  <c r="O69" i="11"/>
  <c r="M181" i="11"/>
  <c r="P181" i="11" s="1"/>
  <c r="L402" i="11"/>
  <c r="O402" i="11" s="1"/>
  <c r="O404" i="11"/>
  <c r="P300" i="11"/>
  <c r="M298" i="11"/>
  <c r="P298" i="11" s="1"/>
  <c r="I226" i="4"/>
  <c r="I180" i="4" s="1"/>
  <c r="K180" i="4" s="1"/>
  <c r="M165" i="6"/>
  <c r="P165" i="6" s="1"/>
  <c r="M119" i="7"/>
  <c r="P119" i="7" s="1"/>
  <c r="K785" i="6"/>
  <c r="P167" i="8"/>
  <c r="P43" i="9"/>
  <c r="P69" i="9"/>
  <c r="O138" i="9"/>
  <c r="O68" i="9"/>
  <c r="M629" i="10"/>
  <c r="P629" i="10" s="1"/>
  <c r="O90" i="10"/>
  <c r="L227" i="11"/>
  <c r="L31" i="11"/>
  <c r="O36" i="11"/>
  <c r="L34" i="11"/>
  <c r="O34" i="11" s="1"/>
  <c r="L16" i="11"/>
  <c r="L14" i="11" s="1"/>
  <c r="O167" i="6"/>
  <c r="L402" i="9"/>
  <c r="O402" i="9" s="1"/>
  <c r="P121" i="9"/>
  <c r="P351" i="10"/>
  <c r="O41" i="7"/>
  <c r="P55" i="10"/>
  <c r="L119" i="4"/>
  <c r="O119" i="4" s="1"/>
  <c r="L523" i="6"/>
  <c r="O523" i="6" s="1"/>
  <c r="M149" i="10"/>
  <c r="P149" i="10" s="1"/>
  <c r="P330" i="10"/>
  <c r="M315" i="11"/>
  <c r="P315" i="11" s="1"/>
  <c r="O66" i="10"/>
  <c r="L13" i="11"/>
  <c r="P151" i="11"/>
  <c r="M149" i="11"/>
  <c r="P149" i="11" s="1"/>
  <c r="P404" i="11"/>
  <c r="M402" i="11"/>
  <c r="P402" i="11" s="1"/>
  <c r="L149" i="11"/>
  <c r="O149" i="11" s="1"/>
  <c r="P279" i="11"/>
  <c r="K559" i="11"/>
  <c r="I543" i="11"/>
  <c r="K543" i="11" s="1"/>
  <c r="N414" i="11"/>
  <c r="N9" i="11"/>
  <c r="P90" i="11"/>
  <c r="M88" i="11"/>
  <c r="P88" i="11" s="1"/>
  <c r="N41" i="11"/>
  <c r="P43" i="11"/>
  <c r="L165" i="6"/>
  <c r="O165" i="6" s="1"/>
  <c r="M24" i="8"/>
  <c r="L119" i="9"/>
  <c r="P545" i="11"/>
  <c r="M544" i="11"/>
  <c r="P544" i="11" s="1"/>
  <c r="I226" i="11"/>
  <c r="K248" i="11"/>
  <c r="O467" i="11"/>
  <c r="L345" i="11"/>
  <c r="O345" i="11" s="1"/>
  <c r="P472" i="11"/>
  <c r="M469" i="11"/>
  <c r="M470" i="11"/>
  <c r="P470" i="11" s="1"/>
  <c r="M33" i="11"/>
  <c r="L544" i="11"/>
  <c r="O544" i="11" s="1"/>
  <c r="O43" i="11"/>
  <c r="O33" i="11"/>
  <c r="N30" i="11"/>
  <c r="N31" i="11"/>
  <c r="O43" i="7"/>
  <c r="L66" i="7"/>
  <c r="O66" i="7" s="1"/>
  <c r="I64" i="8"/>
  <c r="K64" i="8" s="1"/>
  <c r="M315" i="9"/>
  <c r="P315" i="9" s="1"/>
  <c r="I65" i="9"/>
  <c r="K65" i="9" s="1"/>
  <c r="M261" i="10"/>
  <c r="P261" i="10" s="1"/>
  <c r="M315" i="10"/>
  <c r="P315" i="10" s="1"/>
  <c r="L419" i="11"/>
  <c r="O469" i="11"/>
  <c r="P547" i="11"/>
  <c r="O29" i="11"/>
  <c r="P330" i="11"/>
  <c r="M328" i="11"/>
  <c r="P328" i="11" s="1"/>
  <c r="O24" i="11"/>
  <c r="O151" i="10"/>
  <c r="L149" i="10"/>
  <c r="O149" i="10" s="1"/>
  <c r="O12" i="11"/>
  <c r="L9" i="11"/>
  <c r="M119" i="8"/>
  <c r="P119" i="8" s="1"/>
  <c r="O43" i="8"/>
  <c r="I64" i="9"/>
  <c r="K64" i="9" s="1"/>
  <c r="O298" i="10"/>
  <c r="O446" i="11"/>
  <c r="L444" i="11"/>
  <c r="O444" i="11" s="1"/>
  <c r="I131" i="11"/>
  <c r="K131" i="11" s="1"/>
  <c r="K143" i="11"/>
  <c r="P12" i="11"/>
  <c r="M9" i="11"/>
  <c r="L685" i="11"/>
  <c r="O685" i="11" s="1"/>
  <c r="O330" i="8"/>
  <c r="O317" i="9"/>
  <c r="O68" i="10"/>
  <c r="P419" i="11"/>
  <c r="O525" i="11"/>
  <c r="L523" i="11"/>
  <c r="O523" i="11" s="1"/>
  <c r="P19" i="11"/>
  <c r="P391" i="11"/>
  <c r="M389" i="11"/>
  <c r="P389" i="11" s="1"/>
  <c r="P26" i="11"/>
  <c r="N16" i="11"/>
  <c r="N14" i="11" s="1"/>
  <c r="O26" i="11"/>
  <c r="M132" i="2"/>
  <c r="P132" i="2" s="1"/>
  <c r="P55" i="5"/>
  <c r="M345" i="10"/>
  <c r="P345" i="10" s="1"/>
  <c r="P66" i="10"/>
  <c r="P55" i="11"/>
  <c r="M53" i="11"/>
  <c r="O317" i="11"/>
  <c r="L315" i="11"/>
  <c r="O315" i="11" s="1"/>
  <c r="N88" i="10"/>
  <c r="O546" i="10"/>
  <c r="O91" i="9"/>
  <c r="O165" i="9"/>
  <c r="P125" i="9"/>
  <c r="M632" i="8"/>
  <c r="P632" i="8" s="1"/>
  <c r="M631" i="8"/>
  <c r="K417" i="9"/>
  <c r="L467" i="10"/>
  <c r="O467" i="10" s="1"/>
  <c r="M132" i="8"/>
  <c r="P132" i="8" s="1"/>
  <c r="O351" i="9"/>
  <c r="K275" i="10"/>
  <c r="O29" i="10"/>
  <c r="L655" i="9"/>
  <c r="O655" i="9" s="1"/>
  <c r="O53" i="10"/>
  <c r="M446" i="10"/>
  <c r="M447" i="10"/>
  <c r="P447" i="10" s="1"/>
  <c r="P449" i="10"/>
  <c r="M181" i="10"/>
  <c r="P181" i="10" s="1"/>
  <c r="P183" i="10"/>
  <c r="O525" i="10"/>
  <c r="L523" i="10"/>
  <c r="O523" i="10" s="1"/>
  <c r="P29" i="10"/>
  <c r="M315" i="5"/>
  <c r="P315" i="5" s="1"/>
  <c r="P43" i="4"/>
  <c r="O469" i="7"/>
  <c r="M165" i="8"/>
  <c r="P165" i="8" s="1"/>
  <c r="L119" i="8"/>
  <c r="O119" i="8" s="1"/>
  <c r="O181" i="9"/>
  <c r="O183" i="9"/>
  <c r="P181" i="9"/>
  <c r="N119" i="9"/>
  <c r="P119" i="9" s="1"/>
  <c r="L419" i="10"/>
  <c r="P12" i="10"/>
  <c r="M9" i="10"/>
  <c r="L444" i="10"/>
  <c r="O444" i="10" s="1"/>
  <c r="M421" i="10"/>
  <c r="P424" i="10"/>
  <c r="M422" i="10"/>
  <c r="P422" i="10" s="1"/>
  <c r="M33" i="10"/>
  <c r="M13" i="10" s="1"/>
  <c r="M11" i="10" s="1"/>
  <c r="P279" i="10"/>
  <c r="M277" i="10"/>
  <c r="K77" i="10"/>
  <c r="I65" i="10"/>
  <c r="K65" i="10" s="1"/>
  <c r="P26" i="10"/>
  <c r="M24" i="10"/>
  <c r="M16" i="10"/>
  <c r="P16" i="10" s="1"/>
  <c r="L261" i="10"/>
  <c r="O261" i="10" s="1"/>
  <c r="O26" i="10"/>
  <c r="L24" i="10"/>
  <c r="L16" i="10"/>
  <c r="K76" i="10"/>
  <c r="I64" i="10"/>
  <c r="K64" i="10" s="1"/>
  <c r="N24" i="10"/>
  <c r="O43" i="4"/>
  <c r="L315" i="3"/>
  <c r="O315" i="3" s="1"/>
  <c r="P56" i="6"/>
  <c r="P68" i="8"/>
  <c r="P165" i="9"/>
  <c r="O33" i="10"/>
  <c r="L30" i="10"/>
  <c r="O30" i="10" s="1"/>
  <c r="P134" i="10"/>
  <c r="N132" i="10"/>
  <c r="O134" i="10"/>
  <c r="P183" i="9"/>
  <c r="N14" i="10"/>
  <c r="L419" i="4"/>
  <c r="O419" i="4" s="1"/>
  <c r="O446" i="8"/>
  <c r="O421" i="8"/>
  <c r="O53" i="8"/>
  <c r="L165" i="10"/>
  <c r="O165" i="10" s="1"/>
  <c r="O167" i="10"/>
  <c r="P15" i="10"/>
  <c r="O43" i="10"/>
  <c r="N41" i="10"/>
  <c r="P43" i="10"/>
  <c r="N20" i="10"/>
  <c r="N18" i="10" s="1"/>
  <c r="N13" i="10"/>
  <c r="N21" i="10"/>
  <c r="O21" i="10" s="1"/>
  <c r="L315" i="10"/>
  <c r="O315" i="10" s="1"/>
  <c r="K288" i="10"/>
  <c r="N277" i="10"/>
  <c r="O277" i="10" s="1"/>
  <c r="L31" i="5"/>
  <c r="O31" i="5" s="1"/>
  <c r="O687" i="8"/>
  <c r="O125" i="9"/>
  <c r="O68" i="8"/>
  <c r="L629" i="10"/>
  <c r="O629" i="10" s="1"/>
  <c r="O238" i="10"/>
  <c r="L227" i="10"/>
  <c r="P167" i="10"/>
  <c r="M165" i="10"/>
  <c r="P165" i="10" s="1"/>
  <c r="O121" i="10"/>
  <c r="L119" i="10"/>
  <c r="O119" i="10" s="1"/>
  <c r="P547" i="10"/>
  <c r="O391" i="10"/>
  <c r="L389" i="10"/>
  <c r="O389" i="10" s="1"/>
  <c r="M119" i="10"/>
  <c r="P119" i="10" s="1"/>
  <c r="J417" i="10"/>
  <c r="K417" i="10" s="1"/>
  <c r="K433" i="10"/>
  <c r="O264" i="6"/>
  <c r="O31" i="7"/>
  <c r="O53" i="5"/>
  <c r="O279" i="7"/>
  <c r="P263" i="4"/>
  <c r="O183" i="8"/>
  <c r="M21" i="10"/>
  <c r="M20" i="10"/>
  <c r="P23" i="10"/>
  <c r="O23" i="10"/>
  <c r="L20" i="10"/>
  <c r="L13" i="10"/>
  <c r="P546" i="10"/>
  <c r="M544" i="10"/>
  <c r="P544" i="10" s="1"/>
  <c r="O44" i="10"/>
  <c r="O9" i="10"/>
  <c r="O167" i="9"/>
  <c r="K433" i="9"/>
  <c r="L165" i="8"/>
  <c r="O165" i="8" s="1"/>
  <c r="I65" i="5"/>
  <c r="K65" i="5" s="1"/>
  <c r="N13" i="6"/>
  <c r="N10" i="6" s="1"/>
  <c r="N8" i="6" s="1"/>
  <c r="N165" i="7"/>
  <c r="P165" i="7" s="1"/>
  <c r="P43" i="7"/>
  <c r="N345" i="8"/>
  <c r="O345" i="8" s="1"/>
  <c r="M315" i="8"/>
  <c r="P315" i="8" s="1"/>
  <c r="N88" i="8"/>
  <c r="O88" i="8" s="1"/>
  <c r="L629" i="9"/>
  <c r="O629" i="9" s="1"/>
  <c r="O55" i="8"/>
  <c r="L132" i="9"/>
  <c r="O132" i="9" s="1"/>
  <c r="O183" i="6"/>
  <c r="P263" i="8"/>
  <c r="M402" i="9"/>
  <c r="P402" i="9" s="1"/>
  <c r="P263" i="2"/>
  <c r="L402" i="4"/>
  <c r="O402" i="4" s="1"/>
  <c r="N261" i="4"/>
  <c r="O261" i="4" s="1"/>
  <c r="O347" i="5"/>
  <c r="M53" i="5"/>
  <c r="P53" i="5" s="1"/>
  <c r="O421" i="5"/>
  <c r="L227" i="7"/>
  <c r="P41" i="7"/>
  <c r="O149" i="8"/>
  <c r="O300" i="8"/>
  <c r="L389" i="9"/>
  <c r="O389" i="9" s="1"/>
  <c r="P330" i="9"/>
  <c r="L419" i="9"/>
  <c r="O419" i="9" s="1"/>
  <c r="O300" i="9"/>
  <c r="L298" i="9"/>
  <c r="O298" i="9" s="1"/>
  <c r="P168" i="8"/>
  <c r="K77" i="6"/>
  <c r="L402" i="7"/>
  <c r="O402" i="7" s="1"/>
  <c r="P264" i="7"/>
  <c r="N24" i="9"/>
  <c r="P24" i="9" s="1"/>
  <c r="L227" i="4"/>
  <c r="K143" i="9"/>
  <c r="I131" i="9"/>
  <c r="K131" i="9" s="1"/>
  <c r="O421" i="3"/>
  <c r="O55" i="2"/>
  <c r="O68" i="3"/>
  <c r="M328" i="5"/>
  <c r="P328" i="5" s="1"/>
  <c r="M298" i="7"/>
  <c r="P298" i="7" s="1"/>
  <c r="P181" i="7"/>
  <c r="K434" i="7"/>
  <c r="P183" i="7"/>
  <c r="L402" i="8"/>
  <c r="O402" i="8" s="1"/>
  <c r="N261" i="8"/>
  <c r="O261" i="8" s="1"/>
  <c r="P330" i="8"/>
  <c r="O168" i="8"/>
  <c r="P134" i="9"/>
  <c r="M132" i="9"/>
  <c r="P132" i="9" s="1"/>
  <c r="P549" i="9"/>
  <c r="M546" i="9"/>
  <c r="L345" i="9"/>
  <c r="O345" i="9" s="1"/>
  <c r="P167" i="9"/>
  <c r="P9" i="9"/>
  <c r="O345" i="7"/>
  <c r="K174" i="9"/>
  <c r="I164" i="9"/>
  <c r="K164" i="9" s="1"/>
  <c r="N20" i="9"/>
  <c r="N18" i="9" s="1"/>
  <c r="N13" i="9"/>
  <c r="N53" i="9"/>
  <c r="P53" i="9" s="1"/>
  <c r="P55" i="9"/>
  <c r="M149" i="3"/>
  <c r="P149" i="3" s="1"/>
  <c r="L34" i="4"/>
  <c r="O34" i="4" s="1"/>
  <c r="O301" i="6"/>
  <c r="M261" i="8"/>
  <c r="L389" i="8"/>
  <c r="O389" i="8" s="1"/>
  <c r="P470" i="9"/>
  <c r="P261" i="9"/>
  <c r="P29" i="9"/>
  <c r="L685" i="9"/>
  <c r="O685" i="9" s="1"/>
  <c r="P23" i="9"/>
  <c r="N467" i="9"/>
  <c r="M470" i="7"/>
  <c r="P470" i="7" s="1"/>
  <c r="M469" i="7"/>
  <c r="K288" i="8"/>
  <c r="N21" i="9"/>
  <c r="P21" i="9" s="1"/>
  <c r="O183" i="2"/>
  <c r="P449" i="5"/>
  <c r="I418" i="9"/>
  <c r="K418" i="9" s="1"/>
  <c r="K434" i="9"/>
  <c r="O264" i="9"/>
  <c r="O19" i="9"/>
  <c r="M66" i="9"/>
  <c r="P66" i="9" s="1"/>
  <c r="M119" i="2"/>
  <c r="P119" i="2" s="1"/>
  <c r="O90" i="4"/>
  <c r="M447" i="5"/>
  <c r="P447" i="5" s="1"/>
  <c r="P53" i="8"/>
  <c r="L523" i="9"/>
  <c r="O523" i="9" s="1"/>
  <c r="O525" i="9"/>
  <c r="M345" i="9"/>
  <c r="P345" i="9" s="1"/>
  <c r="P347" i="9"/>
  <c r="P26" i="9"/>
  <c r="M16" i="9"/>
  <c r="P16" i="9" s="1"/>
  <c r="O279" i="9"/>
  <c r="L277" i="9"/>
  <c r="O277" i="9" s="1"/>
  <c r="O261" i="9"/>
  <c r="O15" i="9"/>
  <c r="M20" i="9"/>
  <c r="L227" i="9"/>
  <c r="M41" i="9"/>
  <c r="O167" i="4"/>
  <c r="K275" i="5"/>
  <c r="P263" i="6"/>
  <c r="O277" i="6"/>
  <c r="O168" i="6"/>
  <c r="L30" i="7"/>
  <c r="L28" i="7" s="1"/>
  <c r="O28" i="7" s="1"/>
  <c r="K364" i="8"/>
  <c r="P449" i="9"/>
  <c r="M446" i="9"/>
  <c r="M447" i="9"/>
  <c r="P447" i="9" s="1"/>
  <c r="M33" i="9"/>
  <c r="L88" i="9"/>
  <c r="O88" i="9" s="1"/>
  <c r="O90" i="9"/>
  <c r="L13" i="9"/>
  <c r="L11" i="9" s="1"/>
  <c r="O23" i="9"/>
  <c r="L20" i="9"/>
  <c r="O26" i="9"/>
  <c r="L16" i="9"/>
  <c r="O16" i="9" s="1"/>
  <c r="L24" i="9"/>
  <c r="O12" i="9"/>
  <c r="L9" i="9"/>
  <c r="M66" i="2"/>
  <c r="P66" i="2" s="1"/>
  <c r="P330" i="2"/>
  <c r="P446" i="5"/>
  <c r="L389" i="6"/>
  <c r="O389" i="6" s="1"/>
  <c r="K237" i="9"/>
  <c r="I226" i="9"/>
  <c r="M298" i="9"/>
  <c r="P298" i="9" s="1"/>
  <c r="O55" i="9"/>
  <c r="P15" i="9"/>
  <c r="P263" i="5"/>
  <c r="M389" i="6"/>
  <c r="P389" i="6" s="1"/>
  <c r="K537" i="6"/>
  <c r="M298" i="6"/>
  <c r="P298" i="6" s="1"/>
  <c r="K288" i="6"/>
  <c r="L88" i="6"/>
  <c r="O88" i="6" s="1"/>
  <c r="I164" i="7"/>
  <c r="K164" i="7" s="1"/>
  <c r="O181" i="8"/>
  <c r="P300" i="8"/>
  <c r="P391" i="8"/>
  <c r="M389" i="8"/>
  <c r="P389" i="8" s="1"/>
  <c r="L786" i="6"/>
  <c r="O786" i="6" s="1"/>
  <c r="O134" i="6"/>
  <c r="O33" i="6"/>
  <c r="M33" i="7"/>
  <c r="M30" i="7" s="1"/>
  <c r="M28" i="7" s="1"/>
  <c r="P28" i="7" s="1"/>
  <c r="K76" i="7"/>
  <c r="I65" i="8"/>
  <c r="K65" i="8" s="1"/>
  <c r="K77" i="8"/>
  <c r="O263" i="6"/>
  <c r="O300" i="2"/>
  <c r="P167" i="4"/>
  <c r="L132" i="5"/>
  <c r="O132" i="5" s="1"/>
  <c r="K522" i="6"/>
  <c r="O132" i="6"/>
  <c r="P264" i="6"/>
  <c r="L34" i="6"/>
  <c r="O34" i="6" s="1"/>
  <c r="P90" i="6"/>
  <c r="M389" i="7"/>
  <c r="P389" i="7" s="1"/>
  <c r="O66" i="8"/>
  <c r="L467" i="8"/>
  <c r="O467" i="8" s="1"/>
  <c r="O469" i="8"/>
  <c r="O36" i="8"/>
  <c r="L30" i="8"/>
  <c r="L28" i="8" s="1"/>
  <c r="L34" i="8"/>
  <c r="O34" i="8" s="1"/>
  <c r="N328" i="8"/>
  <c r="P328" i="8" s="1"/>
  <c r="O631" i="8"/>
  <c r="O151" i="8"/>
  <c r="L30" i="5"/>
  <c r="O30" i="5" s="1"/>
  <c r="L16" i="5"/>
  <c r="O16" i="5" s="1"/>
  <c r="L34" i="5"/>
  <c r="O34" i="5" s="1"/>
  <c r="O421" i="6"/>
  <c r="P168" i="6"/>
  <c r="P328" i="6"/>
  <c r="P132" i="6"/>
  <c r="N298" i="8"/>
  <c r="P298" i="8" s="1"/>
  <c r="L13" i="8"/>
  <c r="L11" i="8" s="1"/>
  <c r="P44" i="8"/>
  <c r="P183" i="2"/>
  <c r="M261" i="3"/>
  <c r="P261" i="3" s="1"/>
  <c r="M149" i="7"/>
  <c r="P149" i="7" s="1"/>
  <c r="P55" i="7"/>
  <c r="N414" i="8"/>
  <c r="O26" i="8"/>
  <c r="L16" i="8"/>
  <c r="M20" i="8"/>
  <c r="M18" i="8" s="1"/>
  <c r="P23" i="8"/>
  <c r="O33" i="8"/>
  <c r="N30" i="8"/>
  <c r="N31" i="8"/>
  <c r="O31" i="8" s="1"/>
  <c r="N20" i="8"/>
  <c r="N18" i="8" s="1"/>
  <c r="N13" i="8"/>
  <c r="N21" i="8"/>
  <c r="O21" i="8" s="1"/>
  <c r="L227" i="8"/>
  <c r="O9" i="8"/>
  <c r="M402" i="4"/>
  <c r="P402" i="4" s="1"/>
  <c r="O56" i="5"/>
  <c r="O629" i="8"/>
  <c r="K433" i="8"/>
  <c r="I417" i="8"/>
  <c r="K417" i="8" s="1"/>
  <c r="P404" i="8"/>
  <c r="M402" i="8"/>
  <c r="P402" i="8" s="1"/>
  <c r="P90" i="8"/>
  <c r="M88" i="8"/>
  <c r="L24" i="8"/>
  <c r="N16" i="8"/>
  <c r="N14" i="8" s="1"/>
  <c r="P14" i="8" s="1"/>
  <c r="N24" i="8"/>
  <c r="P549" i="8"/>
  <c r="M546" i="8"/>
  <c r="P546" i="8" s="1"/>
  <c r="M547" i="8"/>
  <c r="P547" i="8" s="1"/>
  <c r="M33" i="8"/>
  <c r="M13" i="8" s="1"/>
  <c r="P545" i="8"/>
  <c r="P347" i="8"/>
  <c r="M345" i="8"/>
  <c r="P279" i="8"/>
  <c r="O279" i="8"/>
  <c r="L20" i="8"/>
  <c r="N277" i="8"/>
  <c r="P43" i="2"/>
  <c r="O328" i="6"/>
  <c r="O525" i="8"/>
  <c r="L523" i="8"/>
  <c r="K559" i="8"/>
  <c r="I543" i="8"/>
  <c r="K543" i="8" s="1"/>
  <c r="P19" i="8"/>
  <c r="P26" i="8"/>
  <c r="O44" i="2"/>
  <c r="P345" i="4"/>
  <c r="N41" i="5"/>
  <c r="P41" i="5" s="1"/>
  <c r="O55" i="7"/>
  <c r="P660" i="8"/>
  <c r="M657" i="8"/>
  <c r="M658" i="8"/>
  <c r="P658" i="8" s="1"/>
  <c r="M685" i="8"/>
  <c r="P685" i="8" s="1"/>
  <c r="M419" i="8"/>
  <c r="P12" i="8"/>
  <c r="M9" i="8"/>
  <c r="O29" i="8"/>
  <c r="K143" i="7"/>
  <c r="I131" i="7"/>
  <c r="K131" i="7" s="1"/>
  <c r="P183" i="8"/>
  <c r="M181" i="8"/>
  <c r="P181" i="8" s="1"/>
  <c r="P43" i="8"/>
  <c r="N41" i="8"/>
  <c r="P151" i="8"/>
  <c r="M149" i="8"/>
  <c r="P149" i="8" s="1"/>
  <c r="O280" i="8"/>
  <c r="P331" i="3"/>
  <c r="O55" i="5"/>
  <c r="P56" i="8"/>
  <c r="O23" i="8"/>
  <c r="O298" i="5"/>
  <c r="O263" i="7"/>
  <c r="O544" i="7"/>
  <c r="O317" i="7"/>
  <c r="L315" i="7"/>
  <c r="O315" i="7" s="1"/>
  <c r="P55" i="2"/>
  <c r="L523" i="3"/>
  <c r="O523" i="3" s="1"/>
  <c r="L41" i="4"/>
  <c r="O41" i="4" s="1"/>
  <c r="O263" i="4"/>
  <c r="O26" i="5"/>
  <c r="M402" i="5"/>
  <c r="P402" i="5" s="1"/>
  <c r="M629" i="6"/>
  <c r="P629" i="6" s="1"/>
  <c r="L629" i="6"/>
  <c r="O629" i="6" s="1"/>
  <c r="P134" i="6"/>
  <c r="O88" i="7"/>
  <c r="P68" i="7"/>
  <c r="M66" i="7"/>
  <c r="P66" i="7" s="1"/>
  <c r="P279" i="7"/>
  <c r="M277" i="7"/>
  <c r="P277" i="7" s="1"/>
  <c r="M422" i="5"/>
  <c r="P422" i="5" s="1"/>
  <c r="M421" i="5"/>
  <c r="O279" i="3"/>
  <c r="M389" i="5"/>
  <c r="P389" i="5" s="1"/>
  <c r="M547" i="6"/>
  <c r="P547" i="6" s="1"/>
  <c r="M315" i="6"/>
  <c r="P315" i="6" s="1"/>
  <c r="M402" i="6"/>
  <c r="P402" i="6" s="1"/>
  <c r="N181" i="6"/>
  <c r="P181" i="6" s="1"/>
  <c r="O330" i="7"/>
  <c r="L30" i="6"/>
  <c r="O30" i="6" s="1"/>
  <c r="O90" i="7"/>
  <c r="P149" i="6"/>
  <c r="L419" i="7"/>
  <c r="O419" i="7" s="1"/>
  <c r="O421" i="7"/>
  <c r="L655" i="7"/>
  <c r="O655" i="7" s="1"/>
  <c r="O657" i="7"/>
  <c r="P90" i="7"/>
  <c r="O655" i="2"/>
  <c r="O657" i="2"/>
  <c r="O330" i="2"/>
  <c r="O328" i="2"/>
  <c r="O55" i="3"/>
  <c r="O43" i="2"/>
  <c r="O68" i="5"/>
  <c r="M632" i="6"/>
  <c r="P632" i="6" s="1"/>
  <c r="P151" i="6"/>
  <c r="M546" i="6"/>
  <c r="P330" i="7"/>
  <c r="L685" i="7"/>
  <c r="O685" i="7" s="1"/>
  <c r="L298" i="7"/>
  <c r="O298" i="7" s="1"/>
  <c r="N328" i="7"/>
  <c r="O328" i="7" s="1"/>
  <c r="P88" i="7"/>
  <c r="L655" i="4"/>
  <c r="O655" i="4" s="1"/>
  <c r="O300" i="5"/>
  <c r="P300" i="5"/>
  <c r="O264" i="5"/>
  <c r="P121" i="6"/>
  <c r="O121" i="7"/>
  <c r="L119" i="7"/>
  <c r="O119" i="7" s="1"/>
  <c r="P317" i="7"/>
  <c r="M315" i="7"/>
  <c r="P315" i="7" s="1"/>
  <c r="M547" i="7"/>
  <c r="P547" i="7" s="1"/>
  <c r="M546" i="7"/>
  <c r="M544" i="7" s="1"/>
  <c r="P544" i="7" s="1"/>
  <c r="O391" i="7"/>
  <c r="L389" i="7"/>
  <c r="O389" i="7" s="1"/>
  <c r="L629" i="7"/>
  <c r="O629" i="7" s="1"/>
  <c r="O631" i="7"/>
  <c r="N20" i="7"/>
  <c r="N18" i="7" s="1"/>
  <c r="N13" i="7"/>
  <c r="N10" i="7" s="1"/>
  <c r="N21" i="7"/>
  <c r="O21" i="7" s="1"/>
  <c r="P53" i="7"/>
  <c r="P9" i="7"/>
  <c r="O9" i="7"/>
  <c r="L41" i="2"/>
  <c r="O41" i="2" s="1"/>
  <c r="K417" i="6"/>
  <c r="P279" i="6"/>
  <c r="P183" i="6"/>
  <c r="P444" i="7"/>
  <c r="O167" i="7"/>
  <c r="L165" i="7"/>
  <c r="P15" i="7"/>
  <c r="O786" i="7"/>
  <c r="K559" i="7"/>
  <c r="O44" i="7"/>
  <c r="P347" i="7"/>
  <c r="O347" i="7"/>
  <c r="O347" i="3"/>
  <c r="P301" i="5"/>
  <c r="O56" i="6"/>
  <c r="O279" i="6"/>
  <c r="P23" i="6"/>
  <c r="O298" i="6"/>
  <c r="O318" i="6"/>
  <c r="K433" i="7"/>
  <c r="O789" i="7"/>
  <c r="O546" i="7"/>
  <c r="O331" i="7"/>
  <c r="P331" i="7"/>
  <c r="N30" i="7"/>
  <c r="N28" i="7" s="1"/>
  <c r="O33" i="7"/>
  <c r="K226" i="7"/>
  <c r="I180" i="7"/>
  <c r="K180" i="7" s="1"/>
  <c r="P23" i="3"/>
  <c r="O165" i="5"/>
  <c r="M21" i="7"/>
  <c r="P23" i="7"/>
  <c r="M20" i="7"/>
  <c r="M18" i="7" s="1"/>
  <c r="N414" i="7"/>
  <c r="P351" i="7"/>
  <c r="O351" i="7"/>
  <c r="P264" i="2"/>
  <c r="O330" i="3"/>
  <c r="L88" i="4"/>
  <c r="O88" i="4" s="1"/>
  <c r="P56" i="5"/>
  <c r="K143" i="5"/>
  <c r="O167" i="5"/>
  <c r="O345" i="4"/>
  <c r="P26" i="7"/>
  <c r="M16" i="7"/>
  <c r="P16" i="7" s="1"/>
  <c r="M24" i="7"/>
  <c r="P19" i="7"/>
  <c r="O53" i="7"/>
  <c r="P404" i="7"/>
  <c r="M402" i="7"/>
  <c r="P402" i="7" s="1"/>
  <c r="N24" i="7"/>
  <c r="M402" i="2"/>
  <c r="P402" i="2" s="1"/>
  <c r="L786" i="5"/>
  <c r="O786" i="5" s="1"/>
  <c r="O315" i="6"/>
  <c r="L523" i="7"/>
  <c r="O523" i="7" s="1"/>
  <c r="O525" i="7"/>
  <c r="P791" i="7"/>
  <c r="M788" i="7"/>
  <c r="M789" i="7"/>
  <c r="P789" i="7" s="1"/>
  <c r="P421" i="7"/>
  <c r="M419" i="7"/>
  <c r="L444" i="7"/>
  <c r="P348" i="7"/>
  <c r="O348" i="7"/>
  <c r="P29" i="7"/>
  <c r="N9" i="7"/>
  <c r="O26" i="7"/>
  <c r="L16" i="7"/>
  <c r="L24" i="7"/>
  <c r="O183" i="7"/>
  <c r="L181" i="7"/>
  <c r="O181" i="7" s="1"/>
  <c r="O23" i="7"/>
  <c r="L20" i="7"/>
  <c r="L13" i="7"/>
  <c r="P631" i="7"/>
  <c r="M629" i="7"/>
  <c r="P629" i="7" s="1"/>
  <c r="I65" i="7"/>
  <c r="K65" i="7" s="1"/>
  <c r="K77" i="7"/>
  <c r="O151" i="6"/>
  <c r="I418" i="6"/>
  <c r="K418" i="6" s="1"/>
  <c r="K434" i="6"/>
  <c r="P138" i="6"/>
  <c r="P90" i="3"/>
  <c r="M20" i="4"/>
  <c r="M18" i="4" s="1"/>
  <c r="L523" i="4"/>
  <c r="O523" i="4" s="1"/>
  <c r="M41" i="4"/>
  <c r="P41" i="4" s="1"/>
  <c r="M165" i="5"/>
  <c r="P165" i="5" s="1"/>
  <c r="K433" i="5"/>
  <c r="N24" i="6"/>
  <c r="P301" i="6"/>
  <c r="L53" i="6"/>
  <c r="O53" i="6" s="1"/>
  <c r="P119" i="6"/>
  <c r="K76" i="6"/>
  <c r="I64" i="6"/>
  <c r="K64" i="6" s="1"/>
  <c r="M66" i="6"/>
  <c r="P66" i="6" s="1"/>
  <c r="P68" i="6"/>
  <c r="N20" i="6"/>
  <c r="N18" i="6" s="1"/>
  <c r="O279" i="2"/>
  <c r="P280" i="4"/>
  <c r="L444" i="6"/>
  <c r="O444" i="6" s="1"/>
  <c r="M419" i="6"/>
  <c r="P419" i="6" s="1"/>
  <c r="P318" i="6"/>
  <c r="P21" i="6"/>
  <c r="P261" i="6"/>
  <c r="L30" i="2"/>
  <c r="L28" i="2" s="1"/>
  <c r="P351" i="6"/>
  <c r="O138" i="6"/>
  <c r="P277" i="6"/>
  <c r="O657" i="6"/>
  <c r="L655" i="6"/>
  <c r="O655" i="6" s="1"/>
  <c r="L227" i="5"/>
  <c r="O345" i="6"/>
  <c r="L119" i="6"/>
  <c r="O119" i="6" s="1"/>
  <c r="P88" i="6"/>
  <c r="K364" i="2"/>
  <c r="L13" i="2"/>
  <c r="L11" i="2" s="1"/>
  <c r="M298" i="5"/>
  <c r="P298" i="5" s="1"/>
  <c r="N24" i="5"/>
  <c r="O24" i="5" s="1"/>
  <c r="O261" i="6"/>
  <c r="O149" i="6"/>
  <c r="M470" i="6"/>
  <c r="P470" i="6" s="1"/>
  <c r="M469" i="6"/>
  <c r="K433" i="6"/>
  <c r="L132" i="4"/>
  <c r="O132" i="4" s="1"/>
  <c r="M132" i="4"/>
  <c r="P132" i="4" s="1"/>
  <c r="L315" i="5"/>
  <c r="O315" i="5" s="1"/>
  <c r="P687" i="6"/>
  <c r="K365" i="6"/>
  <c r="J364" i="6"/>
  <c r="K364" i="6" s="1"/>
  <c r="M24" i="6"/>
  <c r="M16" i="6"/>
  <c r="P26" i="6"/>
  <c r="P280" i="6"/>
  <c r="O23" i="6"/>
  <c r="L20" i="6"/>
  <c r="L13" i="6"/>
  <c r="L11" i="6" s="1"/>
  <c r="L227" i="6"/>
  <c r="M20" i="6"/>
  <c r="M657" i="6"/>
  <c r="M658" i="6"/>
  <c r="P658" i="6" s="1"/>
  <c r="P660" i="6"/>
  <c r="P19" i="6"/>
  <c r="L66" i="6"/>
  <c r="O66" i="6" s="1"/>
  <c r="O68" i="6"/>
  <c r="M9" i="6"/>
  <c r="P12" i="6"/>
  <c r="P330" i="6"/>
  <c r="K143" i="6"/>
  <c r="I131" i="6"/>
  <c r="K131" i="6" s="1"/>
  <c r="O347" i="6"/>
  <c r="O21" i="6"/>
  <c r="N41" i="6"/>
  <c r="L16" i="6"/>
  <c r="O26" i="6"/>
  <c r="L9" i="6"/>
  <c r="O12" i="6"/>
  <c r="L24" i="6"/>
  <c r="O43" i="6"/>
  <c r="L41" i="6"/>
  <c r="P347" i="6"/>
  <c r="K288" i="5"/>
  <c r="O331" i="5"/>
  <c r="M525" i="6"/>
  <c r="M526" i="6"/>
  <c r="P526" i="6" s="1"/>
  <c r="M33" i="6"/>
  <c r="P528" i="6"/>
  <c r="L261" i="3"/>
  <c r="O261" i="3" s="1"/>
  <c r="P328" i="4"/>
  <c r="K248" i="6"/>
  <c r="I226" i="6"/>
  <c r="O330" i="6"/>
  <c r="O29" i="6"/>
  <c r="M422" i="4"/>
  <c r="P422" i="4" s="1"/>
  <c r="M421" i="4"/>
  <c r="P300" i="2"/>
  <c r="P298" i="3"/>
  <c r="L34" i="3"/>
  <c r="O34" i="3" s="1"/>
  <c r="P41" i="3"/>
  <c r="O56" i="3"/>
  <c r="P328" i="3"/>
  <c r="O391" i="5"/>
  <c r="L389" i="5"/>
  <c r="O389" i="5" s="1"/>
  <c r="I418" i="5"/>
  <c r="K418" i="5" s="1"/>
  <c r="K434" i="5"/>
  <c r="L66" i="2"/>
  <c r="O66" i="2" s="1"/>
  <c r="P449" i="3"/>
  <c r="O300" i="3"/>
  <c r="P55" i="3"/>
  <c r="P183" i="4"/>
  <c r="M149" i="5"/>
  <c r="P149" i="5" s="1"/>
  <c r="M261" i="5"/>
  <c r="P261" i="5" s="1"/>
  <c r="P424" i="4"/>
  <c r="P23" i="4"/>
  <c r="L53" i="2"/>
  <c r="O53" i="2" s="1"/>
  <c r="M447" i="3"/>
  <c r="P447" i="3" s="1"/>
  <c r="P167" i="2"/>
  <c r="J417" i="5"/>
  <c r="K417" i="5" s="1"/>
  <c r="M132" i="5"/>
  <c r="P132" i="5" s="1"/>
  <c r="O470" i="2"/>
  <c r="O167" i="2"/>
  <c r="M315" i="3"/>
  <c r="P315" i="3" s="1"/>
  <c r="P330" i="3"/>
  <c r="K417" i="4"/>
  <c r="M687" i="5"/>
  <c r="M688" i="5"/>
  <c r="P688" i="5" s="1"/>
  <c r="P690" i="5"/>
  <c r="K237" i="5"/>
  <c r="I226" i="5"/>
  <c r="J364" i="5"/>
  <c r="K364" i="5" s="1"/>
  <c r="K365" i="5"/>
  <c r="P26" i="5"/>
  <c r="M16" i="5"/>
  <c r="P16" i="5" s="1"/>
  <c r="M24" i="5"/>
  <c r="O15" i="5"/>
  <c r="P29" i="5"/>
  <c r="O59" i="3"/>
  <c r="O165" i="3"/>
  <c r="M389" i="4"/>
  <c r="P389" i="4" s="1"/>
  <c r="O328" i="4"/>
  <c r="O631" i="4"/>
  <c r="O53" i="3"/>
  <c r="N277" i="4"/>
  <c r="O277" i="4" s="1"/>
  <c r="O183" i="4"/>
  <c r="O687" i="5"/>
  <c r="L685" i="5"/>
  <c r="O685" i="5" s="1"/>
  <c r="O546" i="5"/>
  <c r="L544" i="5"/>
  <c r="P660" i="5"/>
  <c r="M657" i="5"/>
  <c r="M658" i="5"/>
  <c r="P658" i="5" s="1"/>
  <c r="O348" i="5"/>
  <c r="N345" i="5"/>
  <c r="P347" i="5"/>
  <c r="P183" i="5"/>
  <c r="N181" i="5"/>
  <c r="P181" i="5" s="1"/>
  <c r="P469" i="5"/>
  <c r="M467" i="5"/>
  <c r="P467" i="5" s="1"/>
  <c r="L20" i="5"/>
  <c r="O23" i="5"/>
  <c r="L13" i="5"/>
  <c r="L11" i="5" s="1"/>
  <c r="N20" i="5"/>
  <c r="N18" i="5" s="1"/>
  <c r="N13" i="5"/>
  <c r="N10" i="5" s="1"/>
  <c r="N9" i="5"/>
  <c r="P12" i="5"/>
  <c r="M9" i="5"/>
  <c r="K559" i="4"/>
  <c r="I543" i="4"/>
  <c r="K543" i="4" s="1"/>
  <c r="O12" i="5"/>
  <c r="L9" i="5"/>
  <c r="O43" i="5"/>
  <c r="L34" i="2"/>
  <c r="O34" i="2" s="1"/>
  <c r="M20" i="3"/>
  <c r="M18" i="3" s="1"/>
  <c r="O347" i="4"/>
  <c r="O404" i="5"/>
  <c r="L402" i="5"/>
  <c r="O402" i="5" s="1"/>
  <c r="O21" i="5"/>
  <c r="O279" i="4"/>
  <c r="P279" i="5"/>
  <c r="M277" i="5"/>
  <c r="P277" i="5" s="1"/>
  <c r="P19" i="5"/>
  <c r="K559" i="5"/>
  <c r="I543" i="5"/>
  <c r="K543" i="5" s="1"/>
  <c r="O19" i="5"/>
  <c r="L467" i="3"/>
  <c r="O467" i="3" s="1"/>
  <c r="P90" i="5"/>
  <c r="N88" i="5"/>
  <c r="P88" i="5" s="1"/>
  <c r="O168" i="5"/>
  <c r="P168" i="5"/>
  <c r="O90" i="5"/>
  <c r="P15" i="5"/>
  <c r="N66" i="5"/>
  <c r="O66" i="5" s="1"/>
  <c r="M444" i="3"/>
  <c r="P444" i="3" s="1"/>
  <c r="L66" i="3"/>
  <c r="O66" i="3" s="1"/>
  <c r="P152" i="4"/>
  <c r="O280" i="4"/>
  <c r="M66" i="4"/>
  <c r="P66" i="4" s="1"/>
  <c r="O631" i="5"/>
  <c r="L629" i="5"/>
  <c r="O629" i="5" s="1"/>
  <c r="P549" i="5"/>
  <c r="M546" i="5"/>
  <c r="P546" i="5" s="1"/>
  <c r="M547" i="5"/>
  <c r="P547" i="5" s="1"/>
  <c r="M33" i="5"/>
  <c r="M13" i="5" s="1"/>
  <c r="M11" i="5" s="1"/>
  <c r="O419" i="5"/>
  <c r="M66" i="5"/>
  <c r="P68" i="5"/>
  <c r="O151" i="5"/>
  <c r="L149" i="5"/>
  <c r="O149" i="5" s="1"/>
  <c r="K76" i="5"/>
  <c r="I64" i="5"/>
  <c r="K64" i="5" s="1"/>
  <c r="L277" i="5"/>
  <c r="O277" i="5" s="1"/>
  <c r="O279" i="5"/>
  <c r="O183" i="5"/>
  <c r="N181" i="4"/>
  <c r="O181" i="4" s="1"/>
  <c r="O330" i="4"/>
  <c r="P545" i="5"/>
  <c r="O263" i="5"/>
  <c r="L261" i="5"/>
  <c r="O261" i="5" s="1"/>
  <c r="M119" i="5"/>
  <c r="P119" i="5" s="1"/>
  <c r="P23" i="5"/>
  <c r="M20" i="5"/>
  <c r="M21" i="5"/>
  <c r="P21" i="5" s="1"/>
  <c r="O121" i="5"/>
  <c r="L119" i="5"/>
  <c r="O119" i="5" s="1"/>
  <c r="O68" i="4"/>
  <c r="L66" i="4"/>
  <c r="O66" i="4" s="1"/>
  <c r="O90" i="2"/>
  <c r="O184" i="2"/>
  <c r="L20" i="3"/>
  <c r="L18" i="3" s="1"/>
  <c r="M16" i="4"/>
  <c r="M14" i="4" s="1"/>
  <c r="L21" i="2"/>
  <c r="P317" i="4"/>
  <c r="M315" i="4"/>
  <c r="P315" i="4" s="1"/>
  <c r="P348" i="2"/>
  <c r="O317" i="2"/>
  <c r="P424" i="2"/>
  <c r="N24" i="3"/>
  <c r="L389" i="4"/>
  <c r="O389" i="4" s="1"/>
  <c r="O629" i="4"/>
  <c r="M119" i="4"/>
  <c r="P119" i="4" s="1"/>
  <c r="O165" i="4"/>
  <c r="O33" i="4"/>
  <c r="L31" i="4"/>
  <c r="O31" i="4" s="1"/>
  <c r="L30" i="4"/>
  <c r="O300" i="4"/>
  <c r="L298" i="4"/>
  <c r="O298" i="4" s="1"/>
  <c r="P330" i="4"/>
  <c r="M658" i="4"/>
  <c r="P658" i="4" s="1"/>
  <c r="M657" i="4"/>
  <c r="P347" i="4"/>
  <c r="M422" i="2"/>
  <c r="P422" i="2" s="1"/>
  <c r="P317" i="2"/>
  <c r="P16" i="2"/>
  <c r="P53" i="3"/>
  <c r="K433" i="4"/>
  <c r="L444" i="4"/>
  <c r="O444" i="4" s="1"/>
  <c r="O469" i="4"/>
  <c r="L467" i="4"/>
  <c r="O467" i="4" s="1"/>
  <c r="O317" i="4"/>
  <c r="L315" i="4"/>
  <c r="O315" i="4" s="1"/>
  <c r="O151" i="4"/>
  <c r="L149" i="4"/>
  <c r="O149" i="4" s="1"/>
  <c r="P90" i="4"/>
  <c r="M88" i="4"/>
  <c r="P88" i="4" s="1"/>
  <c r="M687" i="4"/>
  <c r="M688" i="4"/>
  <c r="P688" i="4" s="1"/>
  <c r="P690" i="4"/>
  <c r="M33" i="4"/>
  <c r="M544" i="4"/>
  <c r="P544" i="4" s="1"/>
  <c r="M389" i="2"/>
  <c r="P389" i="2" s="1"/>
  <c r="P347" i="2"/>
  <c r="M53" i="2"/>
  <c r="P53" i="2" s="1"/>
  <c r="L444" i="3"/>
  <c r="O444" i="3" s="1"/>
  <c r="P43" i="3"/>
  <c r="P631" i="4"/>
  <c r="M629" i="4"/>
  <c r="P629" i="4" s="1"/>
  <c r="P264" i="4"/>
  <c r="O280" i="2"/>
  <c r="M119" i="3"/>
  <c r="P119" i="3" s="1"/>
  <c r="O328" i="3"/>
  <c r="P167" i="3"/>
  <c r="P165" i="3"/>
  <c r="O88" i="3"/>
  <c r="K226" i="4"/>
  <c r="K77" i="4"/>
  <c r="I65" i="4"/>
  <c r="K65" i="4" s="1"/>
  <c r="O12" i="4"/>
  <c r="L9" i="4"/>
  <c r="O26" i="4"/>
  <c r="L16" i="4"/>
  <c r="P56" i="4"/>
  <c r="O56" i="4"/>
  <c r="K654" i="2"/>
  <c r="I418" i="4"/>
  <c r="K418" i="4" s="1"/>
  <c r="K434" i="4"/>
  <c r="P469" i="4"/>
  <c r="M467" i="4"/>
  <c r="P467" i="4" s="1"/>
  <c r="P55" i="4"/>
  <c r="N53" i="4"/>
  <c r="O55" i="4"/>
  <c r="P151" i="4"/>
  <c r="N149" i="4"/>
  <c r="P149" i="4" s="1"/>
  <c r="I64" i="4"/>
  <c r="K64" i="4" s="1"/>
  <c r="K76" i="4"/>
  <c r="O19" i="4"/>
  <c r="O544" i="2"/>
  <c r="O36" i="2"/>
  <c r="L16" i="2"/>
  <c r="O16" i="2" s="1"/>
  <c r="O345" i="2"/>
  <c r="P280" i="3"/>
  <c r="L227" i="3"/>
  <c r="O23" i="3"/>
  <c r="P300" i="3"/>
  <c r="O23" i="4"/>
  <c r="L20" i="4"/>
  <c r="L18" i="4" s="1"/>
  <c r="L13" i="4"/>
  <c r="N16" i="4"/>
  <c r="N14" i="4" s="1"/>
  <c r="P26" i="4"/>
  <c r="N24" i="4"/>
  <c r="P24" i="4" s="1"/>
  <c r="K522" i="2"/>
  <c r="K537" i="2"/>
  <c r="O168" i="2"/>
  <c r="M419" i="3"/>
  <c r="M402" i="3"/>
  <c r="P402" i="3" s="1"/>
  <c r="O167" i="3"/>
  <c r="O546" i="4"/>
  <c r="L544" i="4"/>
  <c r="O544" i="4" s="1"/>
  <c r="N20" i="4"/>
  <c r="N18" i="4" s="1"/>
  <c r="N13" i="4"/>
  <c r="N21" i="4"/>
  <c r="O21" i="4" s="1"/>
  <c r="M419" i="2"/>
  <c r="P419" i="2" s="1"/>
  <c r="O26" i="2"/>
  <c r="P26" i="2"/>
  <c r="O90" i="3"/>
  <c r="P88" i="3"/>
  <c r="O391" i="3"/>
  <c r="L389" i="3"/>
  <c r="O389" i="3" s="1"/>
  <c r="O43" i="3"/>
  <c r="L41" i="3"/>
  <c r="O41" i="3" s="1"/>
  <c r="O631" i="3"/>
  <c r="L629" i="3"/>
  <c r="O629" i="3" s="1"/>
  <c r="O33" i="3"/>
  <c r="L30" i="3"/>
  <c r="O30" i="3" s="1"/>
  <c r="P279" i="3"/>
  <c r="L181" i="2"/>
  <c r="O181" i="2" s="1"/>
  <c r="O347" i="2"/>
  <c r="L165" i="2"/>
  <c r="O165" i="2" s="1"/>
  <c r="M165" i="2"/>
  <c r="P165" i="2" s="1"/>
  <c r="N24" i="2"/>
  <c r="O24" i="2" s="1"/>
  <c r="M24" i="2"/>
  <c r="M41" i="2"/>
  <c r="P41" i="2" s="1"/>
  <c r="M328" i="2"/>
  <c r="P328" i="2" s="1"/>
  <c r="J417" i="3"/>
  <c r="K417" i="3" s="1"/>
  <c r="N277" i="3"/>
  <c r="O277" i="3" s="1"/>
  <c r="L13" i="3"/>
  <c r="L11" i="3" s="1"/>
  <c r="L786" i="3"/>
  <c r="O786" i="3" s="1"/>
  <c r="M20" i="2"/>
  <c r="M18" i="2" s="1"/>
  <c r="O264" i="3"/>
  <c r="L20" i="2"/>
  <c r="L18" i="2" s="1"/>
  <c r="P23" i="2"/>
  <c r="L132" i="2"/>
  <c r="O132" i="2" s="1"/>
  <c r="P26" i="3"/>
  <c r="M16" i="3"/>
  <c r="M24" i="3"/>
  <c r="N20" i="3"/>
  <c r="N18" i="3" s="1"/>
  <c r="N13" i="3"/>
  <c r="N21" i="3"/>
  <c r="P21" i="3" s="1"/>
  <c r="O546" i="3"/>
  <c r="L544" i="3"/>
  <c r="O544" i="3" s="1"/>
  <c r="I131" i="2"/>
  <c r="K131" i="2" s="1"/>
  <c r="K143" i="2"/>
  <c r="K275" i="2"/>
  <c r="M315" i="2"/>
  <c r="P315" i="2" s="1"/>
  <c r="L277" i="2"/>
  <c r="O277" i="2" s="1"/>
  <c r="O687" i="3"/>
  <c r="L685" i="3"/>
  <c r="O685" i="3" s="1"/>
  <c r="N345" i="3"/>
  <c r="P347" i="3"/>
  <c r="O121" i="3"/>
  <c r="L119" i="3"/>
  <c r="O26" i="3"/>
  <c r="L16" i="3"/>
  <c r="O16" i="3" s="1"/>
  <c r="K174" i="3"/>
  <c r="I164" i="3"/>
  <c r="K164" i="3" s="1"/>
  <c r="O21" i="3"/>
  <c r="P549" i="3"/>
  <c r="M546" i="3"/>
  <c r="P546" i="3" s="1"/>
  <c r="M547" i="3"/>
  <c r="P547" i="3" s="1"/>
  <c r="M33" i="3"/>
  <c r="O29" i="3"/>
  <c r="L24" i="3"/>
  <c r="K559" i="3"/>
  <c r="I543" i="3"/>
  <c r="K543" i="3" s="1"/>
  <c r="J364" i="3"/>
  <c r="K364" i="3" s="1"/>
  <c r="K365" i="3"/>
  <c r="I226" i="3"/>
  <c r="K237" i="3"/>
  <c r="M629" i="3"/>
  <c r="P629" i="3" s="1"/>
  <c r="K77" i="3"/>
  <c r="I65" i="3"/>
  <c r="K65" i="3" s="1"/>
  <c r="O9" i="3"/>
  <c r="O151" i="3"/>
  <c r="L149" i="3"/>
  <c r="O149" i="3" s="1"/>
  <c r="L298" i="3"/>
  <c r="O298" i="3" s="1"/>
  <c r="I418" i="3"/>
  <c r="K418" i="3" s="1"/>
  <c r="K434" i="3"/>
  <c r="P419" i="3"/>
  <c r="P134" i="3"/>
  <c r="M132" i="3"/>
  <c r="P132" i="3" s="1"/>
  <c r="P19" i="3"/>
  <c r="I64" i="3"/>
  <c r="K64" i="3" s="1"/>
  <c r="K76" i="3"/>
  <c r="M21" i="2"/>
  <c r="M687" i="3"/>
  <c r="M688" i="3"/>
  <c r="P688" i="3" s="1"/>
  <c r="P690" i="3"/>
  <c r="O404" i="3"/>
  <c r="L402" i="3"/>
  <c r="O402" i="3" s="1"/>
  <c r="P545" i="3"/>
  <c r="P469" i="3"/>
  <c r="M467" i="3"/>
  <c r="P467" i="3" s="1"/>
  <c r="O183" i="3"/>
  <c r="L181" i="3"/>
  <c r="P12" i="3"/>
  <c r="M9" i="3"/>
  <c r="N181" i="3"/>
  <c r="P183" i="3"/>
  <c r="P68" i="3"/>
  <c r="M66" i="3"/>
  <c r="P66" i="3" s="1"/>
  <c r="O15" i="3"/>
  <c r="L88" i="2"/>
  <c r="O88" i="2" s="1"/>
  <c r="L315" i="2"/>
  <c r="O315" i="2" s="1"/>
  <c r="N21" i="2"/>
  <c r="O687" i="2"/>
  <c r="K559" i="2"/>
  <c r="I543" i="2"/>
  <c r="K543" i="2" s="1"/>
  <c r="O23" i="2"/>
  <c r="K288" i="2"/>
  <c r="O391" i="2"/>
  <c r="L389" i="2"/>
  <c r="O389" i="2" s="1"/>
  <c r="M277" i="2"/>
  <c r="P277" i="2" s="1"/>
  <c r="P279" i="2"/>
  <c r="P19" i="2"/>
  <c r="O249" i="2"/>
  <c r="L227" i="2"/>
  <c r="I64" i="2"/>
  <c r="K64" i="2" s="1"/>
  <c r="K76" i="2"/>
  <c r="P472" i="2"/>
  <c r="M469" i="2"/>
  <c r="M470" i="2"/>
  <c r="P470" i="2" s="1"/>
  <c r="O546" i="2"/>
  <c r="N525" i="2"/>
  <c r="N523" i="2" s="1"/>
  <c r="N414" i="2" s="1"/>
  <c r="N526" i="2"/>
  <c r="O526" i="2" s="1"/>
  <c r="J417" i="2"/>
  <c r="K417" i="2" s="1"/>
  <c r="K433" i="2"/>
  <c r="P12" i="2"/>
  <c r="M9" i="2"/>
  <c r="M14" i="2"/>
  <c r="P14" i="2" s="1"/>
  <c r="M345" i="2"/>
  <c r="P345" i="2" s="1"/>
  <c r="P151" i="2"/>
  <c r="N149" i="2"/>
  <c r="O149" i="2" s="1"/>
  <c r="M546" i="2"/>
  <c r="M547" i="2"/>
  <c r="P547" i="2" s="1"/>
  <c r="P549" i="2"/>
  <c r="O469" i="2"/>
  <c r="L467" i="2"/>
  <c r="O467" i="2" s="1"/>
  <c r="K237" i="2"/>
  <c r="I226" i="2"/>
  <c r="P634" i="2"/>
  <c r="M631" i="2"/>
  <c r="M632" i="2"/>
  <c r="P632" i="2" s="1"/>
  <c r="K77" i="2"/>
  <c r="I65" i="2"/>
  <c r="K65" i="2" s="1"/>
  <c r="M446" i="2"/>
  <c r="M447" i="2"/>
  <c r="P447" i="2" s="1"/>
  <c r="P449" i="2"/>
  <c r="M33" i="2"/>
  <c r="L119" i="2"/>
  <c r="O119" i="2" s="1"/>
  <c r="O121" i="2"/>
  <c r="O19" i="2"/>
  <c r="O446" i="2"/>
  <c r="N444" i="2"/>
  <c r="O444" i="2" s="1"/>
  <c r="L261" i="2"/>
  <c r="O263" i="2"/>
  <c r="O404" i="2"/>
  <c r="L402" i="2"/>
  <c r="O402" i="2" s="1"/>
  <c r="L523" i="2"/>
  <c r="N261" i="2"/>
  <c r="P261" i="2" s="1"/>
  <c r="K669" i="2"/>
  <c r="O421" i="2"/>
  <c r="L419" i="2"/>
  <c r="O629" i="2"/>
  <c r="O12" i="2"/>
  <c r="L9" i="2"/>
  <c r="O264" i="2"/>
  <c r="M687" i="2"/>
  <c r="M688" i="2"/>
  <c r="P688" i="2" s="1"/>
  <c r="P690" i="2"/>
  <c r="O631" i="2"/>
  <c r="N33" i="2"/>
  <c r="O151" i="2"/>
  <c r="P528" i="2"/>
  <c r="M525" i="2"/>
  <c r="M526" i="2"/>
  <c r="P526" i="2" s="1"/>
  <c r="M181" i="2"/>
  <c r="P181" i="2" s="1"/>
  <c r="N20" i="2"/>
  <c r="P88" i="2"/>
  <c r="I164" i="2"/>
  <c r="K164" i="2" s="1"/>
  <c r="K174" i="2"/>
  <c r="P90" i="2"/>
  <c r="M402" i="1"/>
  <c r="P402" i="1" s="1"/>
  <c r="P330" i="1"/>
  <c r="O634" i="1"/>
  <c r="J594" i="1"/>
  <c r="K594" i="1" s="1"/>
  <c r="N632" i="1"/>
  <c r="P632" i="1" s="1"/>
  <c r="N629" i="1"/>
  <c r="P629" i="1" s="1"/>
  <c r="O121" i="1"/>
  <c r="P634" i="1"/>
  <c r="N546" i="1"/>
  <c r="P546" i="1" s="1"/>
  <c r="P345" i="1"/>
  <c r="K785" i="1"/>
  <c r="K235" i="1"/>
  <c r="O238" i="1"/>
  <c r="K236" i="1"/>
  <c r="O184" i="1"/>
  <c r="O43" i="1"/>
  <c r="P91" i="1"/>
  <c r="O345" i="1"/>
  <c r="K434" i="1"/>
  <c r="P279" i="1"/>
  <c r="K418" i="1"/>
  <c r="K675" i="1"/>
  <c r="O56" i="1"/>
  <c r="O134" i="1"/>
  <c r="M328" i="1"/>
  <c r="P328" i="1" s="1"/>
  <c r="O263" i="1"/>
  <c r="K364" i="1"/>
  <c r="O55" i="1"/>
  <c r="P300" i="1"/>
  <c r="O68" i="1"/>
  <c r="P263" i="1"/>
  <c r="O183" i="1"/>
  <c r="O198" i="1"/>
  <c r="N789" i="1"/>
  <c r="P789" i="1" s="1"/>
  <c r="N788" i="1"/>
  <c r="P788" i="1" s="1"/>
  <c r="P791" i="1"/>
  <c r="P549" i="1"/>
  <c r="K112" i="1"/>
  <c r="P41" i="1"/>
  <c r="N658" i="1"/>
  <c r="O658" i="1" s="1"/>
  <c r="N688" i="1"/>
  <c r="P688" i="1" s="1"/>
  <c r="P660" i="1"/>
  <c r="O690" i="1"/>
  <c r="O549" i="1"/>
  <c r="P183" i="1"/>
  <c r="L41" i="1"/>
  <c r="O41" i="1" s="1"/>
  <c r="L34" i="1"/>
  <c r="O34" i="1" s="1"/>
  <c r="N181" i="1"/>
  <c r="O181" i="1" s="1"/>
  <c r="P690" i="1"/>
  <c r="P184" i="1"/>
  <c r="N298" i="1"/>
  <c r="P298" i="1" s="1"/>
  <c r="O279" i="1"/>
  <c r="P88" i="1"/>
  <c r="P135" i="1"/>
  <c r="L53" i="1"/>
  <c r="O53" i="1" s="1"/>
  <c r="O217" i="1"/>
  <c r="P347" i="1"/>
  <c r="O347" i="1"/>
  <c r="N227" i="1"/>
  <c r="L30" i="1"/>
  <c r="L28" i="1" s="1"/>
  <c r="K233" i="1"/>
  <c r="O209" i="1"/>
  <c r="P547" i="1"/>
  <c r="O90" i="1"/>
  <c r="P331" i="1"/>
  <c r="N20" i="1"/>
  <c r="N18" i="1" s="1"/>
  <c r="N277" i="1"/>
  <c r="P277" i="1" s="1"/>
  <c r="O88" i="1"/>
  <c r="M389" i="1"/>
  <c r="P389" i="1" s="1"/>
  <c r="N24" i="1"/>
  <c r="P261" i="1"/>
  <c r="J593" i="1"/>
  <c r="J592" i="1" s="1"/>
  <c r="K592" i="1" s="1"/>
  <c r="O472" i="1"/>
  <c r="O69" i="1"/>
  <c r="O469" i="1"/>
  <c r="L227" i="1"/>
  <c r="P43" i="1"/>
  <c r="O528" i="1"/>
  <c r="P90" i="1"/>
  <c r="P69" i="1"/>
  <c r="O467" i="1"/>
  <c r="P685" i="1"/>
  <c r="N470" i="1"/>
  <c r="O470" i="1" s="1"/>
  <c r="O687" i="1"/>
  <c r="P472" i="1"/>
  <c r="P687" i="1"/>
  <c r="P167" i="1"/>
  <c r="O330" i="1"/>
  <c r="L328" i="1"/>
  <c r="O328" i="1" s="1"/>
  <c r="N657" i="1"/>
  <c r="P657" i="1" s="1"/>
  <c r="P149" i="1"/>
  <c r="O165" i="1"/>
  <c r="P469" i="1"/>
  <c r="N525" i="1"/>
  <c r="N523" i="1" s="1"/>
  <c r="N526" i="1"/>
  <c r="O526" i="1" s="1"/>
  <c r="M119" i="1"/>
  <c r="P119" i="1" s="1"/>
  <c r="P121" i="1"/>
  <c r="P151" i="1"/>
  <c r="P317" i="1"/>
  <c r="O261" i="1"/>
  <c r="L402" i="1"/>
  <c r="O402" i="1" s="1"/>
  <c r="P68" i="1"/>
  <c r="M66" i="1"/>
  <c r="P66" i="1" s="1"/>
  <c r="L523" i="1"/>
  <c r="L119" i="1"/>
  <c r="O119" i="1" s="1"/>
  <c r="O167" i="1"/>
  <c r="J654" i="1"/>
  <c r="K654" i="1" s="1"/>
  <c r="K669" i="1"/>
  <c r="J559" i="1"/>
  <c r="K576" i="1"/>
  <c r="O631" i="1"/>
  <c r="L629" i="1"/>
  <c r="O391" i="1"/>
  <c r="L389" i="1"/>
  <c r="O389" i="1" s="1"/>
  <c r="M523" i="1"/>
  <c r="P168" i="1"/>
  <c r="O168" i="1"/>
  <c r="L24" i="1"/>
  <c r="L16" i="1"/>
  <c r="O26" i="1"/>
  <c r="N9" i="1"/>
  <c r="M544" i="1"/>
  <c r="P545" i="1"/>
  <c r="O317" i="1"/>
  <c r="N315" i="1"/>
  <c r="M467" i="1"/>
  <c r="P467" i="1" s="1"/>
  <c r="O23" i="1"/>
  <c r="L21" i="1"/>
  <c r="O21" i="1" s="1"/>
  <c r="L20" i="1"/>
  <c r="L13" i="1"/>
  <c r="L11" i="1" s="1"/>
  <c r="L132" i="1"/>
  <c r="O132" i="1" s="1"/>
  <c r="O301" i="1"/>
  <c r="K174" i="1"/>
  <c r="I164" i="1"/>
  <c r="K164" i="1" s="1"/>
  <c r="P9" i="1"/>
  <c r="K237" i="1"/>
  <c r="I226" i="1"/>
  <c r="M315" i="1"/>
  <c r="O300" i="1"/>
  <c r="P134" i="1"/>
  <c r="M132" i="1"/>
  <c r="P132" i="1" s="1"/>
  <c r="J87" i="1"/>
  <c r="K87" i="1" s="1"/>
  <c r="K99" i="1"/>
  <c r="P26" i="1"/>
  <c r="M16" i="1"/>
  <c r="M24" i="1"/>
  <c r="K76" i="1"/>
  <c r="J64" i="1"/>
  <c r="K64" i="1" s="1"/>
  <c r="O151" i="1"/>
  <c r="L149" i="1"/>
  <c r="O149" i="1" s="1"/>
  <c r="K143" i="1"/>
  <c r="I131" i="1"/>
  <c r="K131" i="1" s="1"/>
  <c r="N447" i="1"/>
  <c r="N446" i="1"/>
  <c r="N444" i="1" s="1"/>
  <c r="P444" i="1" s="1"/>
  <c r="P449" i="1"/>
  <c r="N422" i="1"/>
  <c r="P422" i="1" s="1"/>
  <c r="P424" i="1"/>
  <c r="N421" i="1"/>
  <c r="O421" i="1" s="1"/>
  <c r="N33" i="1"/>
  <c r="P33" i="1" s="1"/>
  <c r="O424" i="1"/>
  <c r="O19" i="1"/>
  <c r="L786" i="1"/>
  <c r="M30" i="1"/>
  <c r="M181" i="1"/>
  <c r="J65" i="1"/>
  <c r="K65" i="1" s="1"/>
  <c r="K77" i="1"/>
  <c r="O12" i="1"/>
  <c r="L9" i="1"/>
  <c r="L685" i="1"/>
  <c r="O685" i="1" s="1"/>
  <c r="P55" i="1"/>
  <c r="M53" i="1"/>
  <c r="L419" i="1"/>
  <c r="L66" i="1"/>
  <c r="O66" i="1" s="1"/>
  <c r="O280" i="1"/>
  <c r="P29" i="1"/>
  <c r="P23" i="1"/>
  <c r="M20" i="1"/>
  <c r="M13" i="1"/>
  <c r="M21" i="1"/>
  <c r="P21" i="1" s="1"/>
  <c r="P165" i="1"/>
  <c r="P24" i="21" l="1"/>
  <c r="L28" i="21"/>
  <c r="O28" i="21" s="1"/>
  <c r="O30" i="21"/>
  <c r="O16" i="21"/>
  <c r="P66" i="21"/>
  <c r="P631" i="21"/>
  <c r="M629" i="21"/>
  <c r="P629" i="21" s="1"/>
  <c r="P14" i="19"/>
  <c r="O41" i="21"/>
  <c r="P687" i="21"/>
  <c r="M685" i="21"/>
  <c r="P685" i="21" s="1"/>
  <c r="O13" i="21"/>
  <c r="L10" i="21"/>
  <c r="P788" i="21"/>
  <c r="M786" i="21"/>
  <c r="P786" i="21" s="1"/>
  <c r="M31" i="21"/>
  <c r="P31" i="21" s="1"/>
  <c r="P33" i="21"/>
  <c r="M30" i="21"/>
  <c r="M13" i="21"/>
  <c r="P446" i="21"/>
  <c r="M444" i="21"/>
  <c r="P444" i="21" s="1"/>
  <c r="P20" i="21"/>
  <c r="O20" i="21"/>
  <c r="P657" i="21"/>
  <c r="M655" i="21"/>
  <c r="P655" i="21" s="1"/>
  <c r="K226" i="21"/>
  <c r="I180" i="21"/>
  <c r="K180" i="21" s="1"/>
  <c r="P18" i="21"/>
  <c r="M544" i="18"/>
  <c r="P544" i="18" s="1"/>
  <c r="O9" i="21"/>
  <c r="L8" i="21"/>
  <c r="L14" i="21"/>
  <c r="O14" i="21" s="1"/>
  <c r="P421" i="21"/>
  <c r="M419" i="21"/>
  <c r="L37" i="21"/>
  <c r="N14" i="21"/>
  <c r="P16" i="21"/>
  <c r="P14" i="21"/>
  <c r="O18" i="21"/>
  <c r="L11" i="21"/>
  <c r="L414" i="21"/>
  <c r="O414" i="21" s="1"/>
  <c r="O419" i="21"/>
  <c r="N10" i="21"/>
  <c r="N8" i="21" s="1"/>
  <c r="N11" i="21"/>
  <c r="P277" i="21"/>
  <c r="M37" i="21"/>
  <c r="P37" i="21" s="1"/>
  <c r="N37" i="21"/>
  <c r="O16" i="20"/>
  <c r="L14" i="20"/>
  <c r="O14" i="20" s="1"/>
  <c r="M30" i="17"/>
  <c r="P30" i="17" s="1"/>
  <c r="O14" i="15"/>
  <c r="M31" i="17"/>
  <c r="P31" i="17" s="1"/>
  <c r="O21" i="19"/>
  <c r="P469" i="8"/>
  <c r="O20" i="12"/>
  <c r="P261" i="16"/>
  <c r="P261" i="18"/>
  <c r="P657" i="18"/>
  <c r="O16" i="19"/>
  <c r="P20" i="20"/>
  <c r="N18" i="20"/>
  <c r="O261" i="20"/>
  <c r="M13" i="17"/>
  <c r="M10" i="17" s="1"/>
  <c r="N37" i="20"/>
  <c r="K226" i="19"/>
  <c r="I180" i="19"/>
  <c r="K180" i="19" s="1"/>
  <c r="O20" i="20"/>
  <c r="L18" i="20"/>
  <c r="O18" i="20" s="1"/>
  <c r="L37" i="20"/>
  <c r="P20" i="19"/>
  <c r="N414" i="20"/>
  <c r="L414" i="20"/>
  <c r="O11" i="19"/>
  <c r="L28" i="19"/>
  <c r="O28" i="19" s="1"/>
  <c r="L14" i="19"/>
  <c r="M31" i="20"/>
  <c r="P31" i="20" s="1"/>
  <c r="M30" i="20"/>
  <c r="P33" i="20"/>
  <c r="M13" i="20"/>
  <c r="P18" i="20"/>
  <c r="O21" i="20"/>
  <c r="M37" i="20"/>
  <c r="P37" i="20" s="1"/>
  <c r="P9" i="20"/>
  <c r="N8" i="20"/>
  <c r="L18" i="19"/>
  <c r="O18" i="19" s="1"/>
  <c r="P421" i="20"/>
  <c r="M419" i="20"/>
  <c r="O13" i="20"/>
  <c r="L10" i="20"/>
  <c r="L11" i="20"/>
  <c r="O444" i="20"/>
  <c r="N11" i="20"/>
  <c r="P24" i="19"/>
  <c r="N10" i="19"/>
  <c r="N8" i="19" s="1"/>
  <c r="O328" i="19"/>
  <c r="P546" i="19"/>
  <c r="M544" i="19"/>
  <c r="P544" i="19" s="1"/>
  <c r="N37" i="19"/>
  <c r="O13" i="19"/>
  <c r="L10" i="19"/>
  <c r="O10" i="19" s="1"/>
  <c r="P9" i="19"/>
  <c r="O9" i="19"/>
  <c r="P18" i="18"/>
  <c r="M30" i="19"/>
  <c r="P33" i="19"/>
  <c r="M31" i="19"/>
  <c r="P31" i="19" s="1"/>
  <c r="M13" i="19"/>
  <c r="M629" i="19"/>
  <c r="P629" i="19" s="1"/>
  <c r="P631" i="19"/>
  <c r="P53" i="19"/>
  <c r="M37" i="19"/>
  <c r="P16" i="19"/>
  <c r="P421" i="19"/>
  <c r="M419" i="19"/>
  <c r="O419" i="19"/>
  <c r="L414" i="19"/>
  <c r="O414" i="19" s="1"/>
  <c r="O14" i="19"/>
  <c r="L37" i="19"/>
  <c r="O20" i="18"/>
  <c r="I180" i="8"/>
  <c r="K180" i="8" s="1"/>
  <c r="I180" i="16"/>
  <c r="K180" i="16" s="1"/>
  <c r="P20" i="18"/>
  <c r="P33" i="18"/>
  <c r="M30" i="18"/>
  <c r="M31" i="18"/>
  <c r="P31" i="18" s="1"/>
  <c r="L10" i="18"/>
  <c r="O13" i="18"/>
  <c r="O16" i="16"/>
  <c r="L28" i="16"/>
  <c r="O28" i="16" s="1"/>
  <c r="O28" i="18"/>
  <c r="K226" i="18"/>
  <c r="I180" i="18"/>
  <c r="K180" i="18" s="1"/>
  <c r="O9" i="18"/>
  <c r="M14" i="18"/>
  <c r="P14" i="18" s="1"/>
  <c r="N10" i="18"/>
  <c r="N8" i="18" s="1"/>
  <c r="N11" i="18"/>
  <c r="O16" i="18"/>
  <c r="L14" i="18"/>
  <c r="O14" i="18" s="1"/>
  <c r="O30" i="18"/>
  <c r="M13" i="18"/>
  <c r="L11" i="18"/>
  <c r="P9" i="18"/>
  <c r="L414" i="18"/>
  <c r="O414" i="18" s="1"/>
  <c r="N37" i="17"/>
  <c r="L37" i="18"/>
  <c r="O298" i="15"/>
  <c r="P788" i="18"/>
  <c r="M786" i="18"/>
  <c r="P786" i="18" s="1"/>
  <c r="M37" i="18"/>
  <c r="P41" i="18"/>
  <c r="L18" i="18"/>
  <c r="O18" i="18" s="1"/>
  <c r="N37" i="18"/>
  <c r="O11" i="17"/>
  <c r="O181" i="17"/>
  <c r="L14" i="5"/>
  <c r="O14" i="5" s="1"/>
  <c r="O53" i="13"/>
  <c r="P20" i="17"/>
  <c r="P181" i="17"/>
  <c r="I180" i="12"/>
  <c r="K180" i="12" s="1"/>
  <c r="O13" i="11"/>
  <c r="M544" i="16"/>
  <c r="P544" i="16" s="1"/>
  <c r="P345" i="17"/>
  <c r="O20" i="17"/>
  <c r="O345" i="15"/>
  <c r="P41" i="17"/>
  <c r="M37" i="17"/>
  <c r="P24" i="17"/>
  <c r="P546" i="17"/>
  <c r="M544" i="17"/>
  <c r="P544" i="17" s="1"/>
  <c r="M18" i="17"/>
  <c r="P18" i="17" s="1"/>
  <c r="L10" i="17"/>
  <c r="O13" i="17"/>
  <c r="O16" i="17"/>
  <c r="L14" i="17"/>
  <c r="O14" i="17" s="1"/>
  <c r="P13" i="17"/>
  <c r="P446" i="17"/>
  <c r="M444" i="17"/>
  <c r="P444" i="17" s="1"/>
  <c r="M685" i="17"/>
  <c r="P685" i="17" s="1"/>
  <c r="P687" i="17"/>
  <c r="O16" i="15"/>
  <c r="M11" i="17"/>
  <c r="P11" i="17" s="1"/>
  <c r="O30" i="17"/>
  <c r="L28" i="17"/>
  <c r="O28" i="17" s="1"/>
  <c r="L18" i="17"/>
  <c r="O18" i="17" s="1"/>
  <c r="O419" i="17"/>
  <c r="L414" i="17"/>
  <c r="O414" i="17" s="1"/>
  <c r="P419" i="17"/>
  <c r="P9" i="17"/>
  <c r="O9" i="17"/>
  <c r="P16" i="17"/>
  <c r="M14" i="17"/>
  <c r="P14" i="17" s="1"/>
  <c r="N10" i="17"/>
  <c r="N8" i="17" s="1"/>
  <c r="L37" i="17"/>
  <c r="O53" i="15"/>
  <c r="N37" i="16"/>
  <c r="K226" i="14"/>
  <c r="O181" i="16"/>
  <c r="L414" i="16"/>
  <c r="O414" i="16" s="1"/>
  <c r="P24" i="12"/>
  <c r="O24" i="12"/>
  <c r="P66" i="15"/>
  <c r="O24" i="16"/>
  <c r="N10" i="15"/>
  <c r="N8" i="15" s="1"/>
  <c r="P14" i="15"/>
  <c r="N10" i="16"/>
  <c r="N8" i="16" s="1"/>
  <c r="M467" i="16"/>
  <c r="P467" i="16" s="1"/>
  <c r="P469" i="16"/>
  <c r="O277" i="13"/>
  <c r="M544" i="15"/>
  <c r="P544" i="15" s="1"/>
  <c r="P16" i="16"/>
  <c r="M14" i="16"/>
  <c r="P14" i="16" s="1"/>
  <c r="O21" i="16"/>
  <c r="P21" i="16"/>
  <c r="O298" i="16"/>
  <c r="P298" i="16"/>
  <c r="O13" i="16"/>
  <c r="L10" i="16"/>
  <c r="M37" i="16"/>
  <c r="P277" i="16"/>
  <c r="N11" i="16"/>
  <c r="O20" i="16"/>
  <c r="L18" i="16"/>
  <c r="O18" i="16" s="1"/>
  <c r="P18" i="16"/>
  <c r="P788" i="16"/>
  <c r="M786" i="16"/>
  <c r="P786" i="16" s="1"/>
  <c r="P9" i="16"/>
  <c r="P33" i="16"/>
  <c r="M30" i="16"/>
  <c r="M31" i="16"/>
  <c r="P31" i="16" s="1"/>
  <c r="M13" i="16"/>
  <c r="L14" i="16"/>
  <c r="O14" i="16" s="1"/>
  <c r="L11" i="16"/>
  <c r="O11" i="16" s="1"/>
  <c r="O41" i="16"/>
  <c r="L37" i="16"/>
  <c r="P24" i="15"/>
  <c r="P20" i="16"/>
  <c r="O9" i="16"/>
  <c r="P446" i="16"/>
  <c r="M444" i="16"/>
  <c r="M544" i="14"/>
  <c r="P544" i="14" s="1"/>
  <c r="N37" i="15"/>
  <c r="O261" i="15"/>
  <c r="P16" i="15"/>
  <c r="O328" i="13"/>
  <c r="O9" i="15"/>
  <c r="O41" i="15"/>
  <c r="L37" i="15"/>
  <c r="O37" i="15" s="1"/>
  <c r="P421" i="15"/>
  <c r="M419" i="15"/>
  <c r="O30" i="15"/>
  <c r="P9" i="15"/>
  <c r="N11" i="15"/>
  <c r="O11" i="15" s="1"/>
  <c r="O13" i="15"/>
  <c r="L10" i="15"/>
  <c r="O28" i="15"/>
  <c r="O419" i="15"/>
  <c r="L414" i="15"/>
  <c r="O414" i="15" s="1"/>
  <c r="K226" i="15"/>
  <c r="I180" i="15"/>
  <c r="K180" i="15" s="1"/>
  <c r="P631" i="15"/>
  <c r="M629" i="15"/>
  <c r="P629" i="15" s="1"/>
  <c r="O20" i="15"/>
  <c r="M37" i="15"/>
  <c r="P41" i="15"/>
  <c r="P33" i="15"/>
  <c r="M30" i="15"/>
  <c r="M13" i="15"/>
  <c r="M31" i="15"/>
  <c r="P31" i="15" s="1"/>
  <c r="L18" i="15"/>
  <c r="O18" i="15" s="1"/>
  <c r="P20" i="15"/>
  <c r="M18" i="15"/>
  <c r="P18" i="15" s="1"/>
  <c r="O21" i="15"/>
  <c r="P24" i="8"/>
  <c r="P24" i="14"/>
  <c r="O18" i="14"/>
  <c r="P345" i="8"/>
  <c r="P53" i="12"/>
  <c r="L14" i="13"/>
  <c r="O14" i="13" s="1"/>
  <c r="O9" i="14"/>
  <c r="P181" i="13"/>
  <c r="N10" i="14"/>
  <c r="N8" i="14" s="1"/>
  <c r="N11" i="14"/>
  <c r="O11" i="14" s="1"/>
  <c r="P16" i="14"/>
  <c r="M14" i="14"/>
  <c r="P14" i="14" s="1"/>
  <c r="P66" i="14"/>
  <c r="N37" i="14"/>
  <c r="O66" i="14"/>
  <c r="O16" i="14"/>
  <c r="L14" i="14"/>
  <c r="O14" i="14" s="1"/>
  <c r="O523" i="14"/>
  <c r="L414" i="14"/>
  <c r="O414" i="14" s="1"/>
  <c r="O18" i="11"/>
  <c r="P18" i="14"/>
  <c r="P20" i="14"/>
  <c r="O20" i="14"/>
  <c r="M30" i="14"/>
  <c r="P33" i="14"/>
  <c r="M31" i="14"/>
  <c r="P31" i="14" s="1"/>
  <c r="P657" i="14"/>
  <c r="M655" i="14"/>
  <c r="P655" i="14" s="1"/>
  <c r="O53" i="14"/>
  <c r="L37" i="14"/>
  <c r="M37" i="14"/>
  <c r="M419" i="12"/>
  <c r="P419" i="12" s="1"/>
  <c r="O30" i="14"/>
  <c r="L28" i="14"/>
  <c r="O28" i="14" s="1"/>
  <c r="M13" i="14"/>
  <c r="O13" i="14"/>
  <c r="L10" i="14"/>
  <c r="P20" i="13"/>
  <c r="O20" i="13"/>
  <c r="M786" i="6"/>
  <c r="P786" i="6" s="1"/>
  <c r="O21" i="13"/>
  <c r="O20" i="11"/>
  <c r="O277" i="12"/>
  <c r="M31" i="12"/>
  <c r="P31" i="12" s="1"/>
  <c r="P24" i="13"/>
  <c r="M30" i="12"/>
  <c r="P30" i="12" s="1"/>
  <c r="O18" i="13"/>
  <c r="P18" i="11"/>
  <c r="M444" i="13"/>
  <c r="P444" i="13" s="1"/>
  <c r="P446" i="13"/>
  <c r="P546" i="13"/>
  <c r="M544" i="13"/>
  <c r="P544" i="13" s="1"/>
  <c r="N37" i="13"/>
  <c r="O41" i="13"/>
  <c r="L11" i="11"/>
  <c r="O11" i="11" s="1"/>
  <c r="P41" i="13"/>
  <c r="P33" i="13"/>
  <c r="M30" i="13"/>
  <c r="M31" i="13"/>
  <c r="P31" i="13" s="1"/>
  <c r="L28" i="13"/>
  <c r="O28" i="13" s="1"/>
  <c r="M37" i="13"/>
  <c r="P788" i="13"/>
  <c r="M786" i="13"/>
  <c r="P786" i="13" s="1"/>
  <c r="M13" i="13"/>
  <c r="N10" i="13"/>
  <c r="N8" i="13" s="1"/>
  <c r="N11" i="13"/>
  <c r="O11" i="13" s="1"/>
  <c r="L414" i="13"/>
  <c r="O414" i="13" s="1"/>
  <c r="P421" i="13"/>
  <c r="M419" i="13"/>
  <c r="O24" i="13"/>
  <c r="M14" i="13"/>
  <c r="P14" i="13" s="1"/>
  <c r="L10" i="13"/>
  <c r="P20" i="11"/>
  <c r="P9" i="13"/>
  <c r="P132" i="13"/>
  <c r="P469" i="13"/>
  <c r="M467" i="13"/>
  <c r="P467" i="13" s="1"/>
  <c r="M18" i="13"/>
  <c r="P18" i="13" s="1"/>
  <c r="O66" i="13"/>
  <c r="L37" i="13"/>
  <c r="O13" i="13"/>
  <c r="K226" i="13"/>
  <c r="I180" i="13"/>
  <c r="K180" i="13" s="1"/>
  <c r="L28" i="9"/>
  <c r="O28" i="9" s="1"/>
  <c r="M13" i="12"/>
  <c r="M10" i="12" s="1"/>
  <c r="N18" i="12"/>
  <c r="O18" i="12" s="1"/>
  <c r="L10" i="11"/>
  <c r="L8" i="11" s="1"/>
  <c r="M14" i="12"/>
  <c r="P14" i="12" s="1"/>
  <c r="L414" i="12"/>
  <c r="O414" i="12" s="1"/>
  <c r="P446" i="12"/>
  <c r="M444" i="12"/>
  <c r="P444" i="12" s="1"/>
  <c r="N37" i="12"/>
  <c r="O9" i="12"/>
  <c r="O149" i="12"/>
  <c r="O21" i="12"/>
  <c r="N10" i="12"/>
  <c r="N8" i="12" s="1"/>
  <c r="N11" i="12"/>
  <c r="O11" i="12" s="1"/>
  <c r="P41" i="12"/>
  <c r="M37" i="12"/>
  <c r="P657" i="12"/>
  <c r="M655" i="12"/>
  <c r="P655" i="12" s="1"/>
  <c r="P469" i="9"/>
  <c r="P20" i="12"/>
  <c r="M18" i="12"/>
  <c r="L14" i="12"/>
  <c r="O14" i="12" s="1"/>
  <c r="L37" i="12"/>
  <c r="O66" i="12"/>
  <c r="O13" i="12"/>
  <c r="O298" i="8"/>
  <c r="L10" i="12"/>
  <c r="P14" i="11"/>
  <c r="O14" i="11"/>
  <c r="P261" i="4"/>
  <c r="N10" i="11"/>
  <c r="N8" i="11" s="1"/>
  <c r="O31" i="11"/>
  <c r="P9" i="11"/>
  <c r="O20" i="9"/>
  <c r="P16" i="11"/>
  <c r="O16" i="11"/>
  <c r="O419" i="11"/>
  <c r="L414" i="11"/>
  <c r="O414" i="11" s="1"/>
  <c r="P53" i="11"/>
  <c r="M37" i="11"/>
  <c r="P33" i="11"/>
  <c r="M31" i="11"/>
  <c r="P31" i="11" s="1"/>
  <c r="M30" i="11"/>
  <c r="M13" i="11"/>
  <c r="N11" i="6"/>
  <c r="O11" i="6" s="1"/>
  <c r="P21" i="10"/>
  <c r="I180" i="11"/>
  <c r="K180" i="11" s="1"/>
  <c r="K226" i="11"/>
  <c r="L37" i="11"/>
  <c r="N28" i="11"/>
  <c r="O28" i="11" s="1"/>
  <c r="O30" i="11"/>
  <c r="P469" i="11"/>
  <c r="M467" i="11"/>
  <c r="P41" i="11"/>
  <c r="N37" i="11"/>
  <c r="O41" i="11"/>
  <c r="O9" i="11"/>
  <c r="M13" i="7"/>
  <c r="P13" i="7" s="1"/>
  <c r="P18" i="8"/>
  <c r="O21" i="9"/>
  <c r="M14" i="10"/>
  <c r="P14" i="10" s="1"/>
  <c r="O24" i="9"/>
  <c r="L28" i="5"/>
  <c r="O28" i="5" s="1"/>
  <c r="P277" i="10"/>
  <c r="P631" i="8"/>
  <c r="M629" i="8"/>
  <c r="P629" i="8" s="1"/>
  <c r="P88" i="10"/>
  <c r="O88" i="10"/>
  <c r="O20" i="10"/>
  <c r="L18" i="10"/>
  <c r="O18" i="10" s="1"/>
  <c r="N37" i="10"/>
  <c r="O41" i="10"/>
  <c r="P41" i="10"/>
  <c r="P21" i="8"/>
  <c r="P261" i="8"/>
  <c r="O119" i="9"/>
  <c r="M37" i="10"/>
  <c r="P37" i="10" s="1"/>
  <c r="O132" i="10"/>
  <c r="P132" i="10"/>
  <c r="P24" i="10"/>
  <c r="P33" i="10"/>
  <c r="M30" i="10"/>
  <c r="M31" i="10"/>
  <c r="P31" i="10" s="1"/>
  <c r="P9" i="10"/>
  <c r="L37" i="10"/>
  <c r="L37" i="8"/>
  <c r="P13" i="10"/>
  <c r="M10" i="10"/>
  <c r="M8" i="10" s="1"/>
  <c r="N10" i="10"/>
  <c r="N8" i="10" s="1"/>
  <c r="N11" i="10"/>
  <c r="P11" i="10" s="1"/>
  <c r="O16" i="10"/>
  <c r="L14" i="10"/>
  <c r="O14" i="10" s="1"/>
  <c r="P20" i="10"/>
  <c r="M18" i="10"/>
  <c r="P18" i="10" s="1"/>
  <c r="O24" i="10"/>
  <c r="L414" i="10"/>
  <c r="O414" i="10" s="1"/>
  <c r="O419" i="10"/>
  <c r="O13" i="10"/>
  <c r="L10" i="10"/>
  <c r="L11" i="10"/>
  <c r="P421" i="10"/>
  <c r="M419" i="10"/>
  <c r="M444" i="10"/>
  <c r="P444" i="10" s="1"/>
  <c r="P446" i="10"/>
  <c r="L28" i="10"/>
  <c r="O28" i="10" s="1"/>
  <c r="P546" i="9"/>
  <c r="M544" i="9"/>
  <c r="P544" i="9" s="1"/>
  <c r="L28" i="6"/>
  <c r="O28" i="6" s="1"/>
  <c r="O165" i="7"/>
  <c r="O53" i="9"/>
  <c r="P18" i="7"/>
  <c r="P33" i="7"/>
  <c r="O13" i="8"/>
  <c r="N8" i="7"/>
  <c r="K226" i="9"/>
  <c r="I180" i="9"/>
  <c r="K180" i="9" s="1"/>
  <c r="O9" i="9"/>
  <c r="L18" i="9"/>
  <c r="O18" i="9" s="1"/>
  <c r="M467" i="7"/>
  <c r="P467" i="7" s="1"/>
  <c r="P469" i="7"/>
  <c r="O24" i="6"/>
  <c r="M14" i="9"/>
  <c r="P14" i="9" s="1"/>
  <c r="P446" i="9"/>
  <c r="M444" i="9"/>
  <c r="P20" i="9"/>
  <c r="M18" i="9"/>
  <c r="P18" i="9" s="1"/>
  <c r="L37" i="9"/>
  <c r="N37" i="9"/>
  <c r="M31" i="7"/>
  <c r="P31" i="7" s="1"/>
  <c r="L10" i="9"/>
  <c r="O13" i="9"/>
  <c r="O467" i="9"/>
  <c r="N414" i="9"/>
  <c r="O30" i="7"/>
  <c r="O328" i="8"/>
  <c r="L14" i="9"/>
  <c r="O14" i="9" s="1"/>
  <c r="L414" i="9"/>
  <c r="O414" i="9" s="1"/>
  <c r="P33" i="9"/>
  <c r="M30" i="9"/>
  <c r="M13" i="9"/>
  <c r="M31" i="9"/>
  <c r="P31" i="9" s="1"/>
  <c r="M37" i="9"/>
  <c r="P41" i="9"/>
  <c r="N10" i="9"/>
  <c r="N8" i="9" s="1"/>
  <c r="N11" i="9"/>
  <c r="O11" i="9" s="1"/>
  <c r="N37" i="6"/>
  <c r="O181" i="6"/>
  <c r="O41" i="5"/>
  <c r="N11" i="7"/>
  <c r="O24" i="8"/>
  <c r="P13" i="8"/>
  <c r="M10" i="8"/>
  <c r="M8" i="8" s="1"/>
  <c r="M11" i="8"/>
  <c r="P277" i="8"/>
  <c r="O277" i="8"/>
  <c r="P88" i="8"/>
  <c r="M37" i="8"/>
  <c r="P41" i="6"/>
  <c r="P21" i="7"/>
  <c r="P546" i="7"/>
  <c r="P9" i="8"/>
  <c r="P657" i="8"/>
  <c r="M655" i="8"/>
  <c r="P655" i="8" s="1"/>
  <c r="O523" i="8"/>
  <c r="L414" i="8"/>
  <c r="O414" i="8" s="1"/>
  <c r="M544" i="8"/>
  <c r="P544" i="8" s="1"/>
  <c r="N10" i="8"/>
  <c r="N8" i="8" s="1"/>
  <c r="N11" i="8"/>
  <c r="O11" i="8" s="1"/>
  <c r="N37" i="8"/>
  <c r="O41" i="8"/>
  <c r="P41" i="8"/>
  <c r="O20" i="8"/>
  <c r="L18" i="8"/>
  <c r="O18" i="8" s="1"/>
  <c r="P20" i="8"/>
  <c r="P419" i="8"/>
  <c r="M31" i="8"/>
  <c r="P31" i="8" s="1"/>
  <c r="M30" i="8"/>
  <c r="P33" i="8"/>
  <c r="O16" i="8"/>
  <c r="L14" i="8"/>
  <c r="O14" i="8" s="1"/>
  <c r="P16" i="8"/>
  <c r="L10" i="8"/>
  <c r="N28" i="8"/>
  <c r="O28" i="8" s="1"/>
  <c r="O30" i="8"/>
  <c r="N37" i="7"/>
  <c r="P328" i="7"/>
  <c r="P421" i="5"/>
  <c r="M419" i="5"/>
  <c r="P419" i="5" s="1"/>
  <c r="L14" i="2"/>
  <c r="O14" i="2" s="1"/>
  <c r="P24" i="6"/>
  <c r="M14" i="5"/>
  <c r="P14" i="5" s="1"/>
  <c r="P277" i="4"/>
  <c r="M37" i="6"/>
  <c r="M14" i="7"/>
  <c r="P14" i="7" s="1"/>
  <c r="P546" i="6"/>
  <c r="M544" i="6"/>
  <c r="P544" i="6" s="1"/>
  <c r="P419" i="7"/>
  <c r="M37" i="7"/>
  <c r="P24" i="5"/>
  <c r="O24" i="7"/>
  <c r="P24" i="7"/>
  <c r="P30" i="7"/>
  <c r="L10" i="2"/>
  <c r="L8" i="2" s="1"/>
  <c r="O13" i="7"/>
  <c r="L10" i="7"/>
  <c r="L11" i="7"/>
  <c r="O16" i="7"/>
  <c r="L14" i="7"/>
  <c r="O14" i="7" s="1"/>
  <c r="P788" i="7"/>
  <c r="M786" i="7"/>
  <c r="P786" i="7" s="1"/>
  <c r="L37" i="7"/>
  <c r="O20" i="7"/>
  <c r="L18" i="7"/>
  <c r="O18" i="7" s="1"/>
  <c r="P20" i="7"/>
  <c r="O444" i="7"/>
  <c r="L414" i="7"/>
  <c r="O414" i="7" s="1"/>
  <c r="L414" i="6"/>
  <c r="O414" i="6" s="1"/>
  <c r="P20" i="6"/>
  <c r="P469" i="6"/>
  <c r="M467" i="6"/>
  <c r="P467" i="6" s="1"/>
  <c r="P20" i="5"/>
  <c r="N11" i="5"/>
  <c r="O11" i="5" s="1"/>
  <c r="O20" i="5"/>
  <c r="O20" i="6"/>
  <c r="L18" i="6"/>
  <c r="O18" i="6" s="1"/>
  <c r="O16" i="6"/>
  <c r="L14" i="6"/>
  <c r="O14" i="6" s="1"/>
  <c r="P9" i="6"/>
  <c r="P24" i="3"/>
  <c r="P33" i="6"/>
  <c r="M31" i="6"/>
  <c r="P31" i="6" s="1"/>
  <c r="M30" i="6"/>
  <c r="M13" i="6"/>
  <c r="P657" i="6"/>
  <c r="M655" i="6"/>
  <c r="P655" i="6" s="1"/>
  <c r="K226" i="6"/>
  <c r="I180" i="6"/>
  <c r="K180" i="6" s="1"/>
  <c r="P525" i="6"/>
  <c r="M523" i="6"/>
  <c r="O41" i="6"/>
  <c r="L37" i="6"/>
  <c r="O9" i="6"/>
  <c r="M18" i="6"/>
  <c r="P18" i="6" s="1"/>
  <c r="P16" i="6"/>
  <c r="M14" i="6"/>
  <c r="P14" i="6" s="1"/>
  <c r="O181" i="5"/>
  <c r="O13" i="6"/>
  <c r="L10" i="6"/>
  <c r="O10" i="6" s="1"/>
  <c r="O18" i="3"/>
  <c r="N8" i="5"/>
  <c r="L37" i="4"/>
  <c r="M18" i="5"/>
  <c r="P18" i="5" s="1"/>
  <c r="P421" i="4"/>
  <c r="M419" i="4"/>
  <c r="P419" i="4" s="1"/>
  <c r="L28" i="3"/>
  <c r="O28" i="3" s="1"/>
  <c r="P16" i="4"/>
  <c r="M544" i="5"/>
  <c r="P544" i="5" s="1"/>
  <c r="P33" i="5"/>
  <c r="M30" i="5"/>
  <c r="M31" i="5"/>
  <c r="P31" i="5" s="1"/>
  <c r="O13" i="5"/>
  <c r="L10" i="5"/>
  <c r="O10" i="5" s="1"/>
  <c r="K226" i="5"/>
  <c r="I180" i="5"/>
  <c r="K180" i="5" s="1"/>
  <c r="L37" i="5"/>
  <c r="P181" i="4"/>
  <c r="O544" i="5"/>
  <c r="L414" i="5"/>
  <c r="O414" i="5" s="1"/>
  <c r="P345" i="5"/>
  <c r="O345" i="5"/>
  <c r="L414" i="4"/>
  <c r="O414" i="4" s="1"/>
  <c r="M10" i="5"/>
  <c r="P10" i="5" s="1"/>
  <c r="P13" i="5"/>
  <c r="O88" i="5"/>
  <c r="N37" i="5"/>
  <c r="O20" i="2"/>
  <c r="P277" i="3"/>
  <c r="O21" i="2"/>
  <c r="P66" i="5"/>
  <c r="P9" i="5"/>
  <c r="M37" i="5"/>
  <c r="P687" i="5"/>
  <c r="M685" i="5"/>
  <c r="P685" i="5" s="1"/>
  <c r="O13" i="3"/>
  <c r="P21" i="4"/>
  <c r="P14" i="4"/>
  <c r="L18" i="5"/>
  <c r="O18" i="5" s="1"/>
  <c r="O9" i="5"/>
  <c r="P657" i="5"/>
  <c r="M655" i="5"/>
  <c r="P655" i="5" s="1"/>
  <c r="O24" i="3"/>
  <c r="M37" i="4"/>
  <c r="O30" i="4"/>
  <c r="L28" i="4"/>
  <c r="O28" i="4" s="1"/>
  <c r="P657" i="4"/>
  <c r="M655" i="4"/>
  <c r="P655" i="4" s="1"/>
  <c r="P24" i="2"/>
  <c r="N10" i="4"/>
  <c r="N8" i="4" s="1"/>
  <c r="N11" i="4"/>
  <c r="O18" i="4"/>
  <c r="N37" i="4"/>
  <c r="O53" i="4"/>
  <c r="P20" i="4"/>
  <c r="M30" i="4"/>
  <c r="P33" i="4"/>
  <c r="M31" i="4"/>
  <c r="P31" i="4" s="1"/>
  <c r="M13" i="4"/>
  <c r="P18" i="4"/>
  <c r="O24" i="4"/>
  <c r="O13" i="4"/>
  <c r="L10" i="4"/>
  <c r="L8" i="4" s="1"/>
  <c r="O9" i="4"/>
  <c r="P53" i="4"/>
  <c r="O20" i="4"/>
  <c r="P687" i="4"/>
  <c r="M685" i="4"/>
  <c r="P685" i="4" s="1"/>
  <c r="L14" i="3"/>
  <c r="O14" i="3" s="1"/>
  <c r="L10" i="3"/>
  <c r="L8" i="3" s="1"/>
  <c r="L414" i="3"/>
  <c r="O414" i="3" s="1"/>
  <c r="O16" i="4"/>
  <c r="L14" i="4"/>
  <c r="O14" i="4" s="1"/>
  <c r="L11" i="4"/>
  <c r="P21" i="2"/>
  <c r="M544" i="3"/>
  <c r="P544" i="3" s="1"/>
  <c r="O20" i="3"/>
  <c r="P18" i="3"/>
  <c r="P181" i="3"/>
  <c r="N37" i="3"/>
  <c r="O181" i="3"/>
  <c r="O119" i="3"/>
  <c r="L37" i="3"/>
  <c r="P16" i="3"/>
  <c r="M14" i="3"/>
  <c r="P14" i="3" s="1"/>
  <c r="K226" i="3"/>
  <c r="I180" i="3"/>
  <c r="K180" i="3" s="1"/>
  <c r="P33" i="3"/>
  <c r="M30" i="3"/>
  <c r="M31" i="3"/>
  <c r="P31" i="3" s="1"/>
  <c r="M13" i="3"/>
  <c r="O345" i="3"/>
  <c r="P345" i="3"/>
  <c r="M37" i="3"/>
  <c r="N10" i="3"/>
  <c r="N8" i="3" s="1"/>
  <c r="N11" i="3"/>
  <c r="O11" i="3" s="1"/>
  <c r="P9" i="3"/>
  <c r="P687" i="3"/>
  <c r="M685" i="3"/>
  <c r="P685" i="3" s="1"/>
  <c r="P20" i="3"/>
  <c r="P149" i="2"/>
  <c r="P20" i="2"/>
  <c r="N18" i="2"/>
  <c r="O18" i="2" s="1"/>
  <c r="L37" i="2"/>
  <c r="P687" i="2"/>
  <c r="M685" i="2"/>
  <c r="P685" i="2" s="1"/>
  <c r="O525" i="2"/>
  <c r="P631" i="2"/>
  <c r="M629" i="2"/>
  <c r="P629" i="2" s="1"/>
  <c r="N30" i="2"/>
  <c r="O33" i="2"/>
  <c r="N31" i="2"/>
  <c r="O31" i="2" s="1"/>
  <c r="O9" i="2"/>
  <c r="M31" i="2"/>
  <c r="P33" i="2"/>
  <c r="M30" i="2"/>
  <c r="M13" i="2"/>
  <c r="I180" i="2"/>
  <c r="K180" i="2" s="1"/>
  <c r="K226" i="2"/>
  <c r="P546" i="2"/>
  <c r="M544" i="2"/>
  <c r="P544" i="2" s="1"/>
  <c r="P9" i="2"/>
  <c r="P525" i="2"/>
  <c r="M523" i="2"/>
  <c r="P523" i="2" s="1"/>
  <c r="M37" i="2"/>
  <c r="O261" i="2"/>
  <c r="M444" i="2"/>
  <c r="P446" i="2"/>
  <c r="N13" i="2"/>
  <c r="O419" i="2"/>
  <c r="L414" i="2"/>
  <c r="O414" i="2" s="1"/>
  <c r="O523" i="2"/>
  <c r="P469" i="2"/>
  <c r="M467" i="2"/>
  <c r="P467" i="2" s="1"/>
  <c r="N37" i="2"/>
  <c r="O546" i="1"/>
  <c r="O632" i="1"/>
  <c r="O277" i="1"/>
  <c r="N544" i="1"/>
  <c r="O544" i="1" s="1"/>
  <c r="P658" i="1"/>
  <c r="O629" i="1"/>
  <c r="P470" i="1"/>
  <c r="K593" i="1"/>
  <c r="O298" i="1"/>
  <c r="O789" i="1"/>
  <c r="O788" i="1"/>
  <c r="N786" i="1"/>
  <c r="P786" i="1" s="1"/>
  <c r="P181" i="1"/>
  <c r="O688" i="1"/>
  <c r="O20" i="1"/>
  <c r="O24" i="1"/>
  <c r="P526" i="1"/>
  <c r="O227" i="1"/>
  <c r="P24" i="1"/>
  <c r="O444" i="1"/>
  <c r="P523" i="1"/>
  <c r="O523" i="1"/>
  <c r="P525" i="1"/>
  <c r="P315" i="1"/>
  <c r="O657" i="1"/>
  <c r="N655" i="1"/>
  <c r="O525" i="1"/>
  <c r="P20" i="1"/>
  <c r="M18" i="1"/>
  <c r="P18" i="1" s="1"/>
  <c r="L414" i="1"/>
  <c r="O16" i="1"/>
  <c r="L14" i="1"/>
  <c r="O14" i="1" s="1"/>
  <c r="K226" i="1"/>
  <c r="I180" i="1"/>
  <c r="K180" i="1" s="1"/>
  <c r="O446" i="1"/>
  <c r="M28" i="1"/>
  <c r="N30" i="1"/>
  <c r="O33" i="1"/>
  <c r="N13" i="1"/>
  <c r="P13" i="1" s="1"/>
  <c r="N31" i="1"/>
  <c r="O447" i="1"/>
  <c r="P447" i="1"/>
  <c r="P16" i="1"/>
  <c r="M14" i="1"/>
  <c r="P14" i="1" s="1"/>
  <c r="P53" i="1"/>
  <c r="M37" i="1"/>
  <c r="P421" i="1"/>
  <c r="N419" i="1"/>
  <c r="J543" i="1"/>
  <c r="K543" i="1" s="1"/>
  <c r="K559" i="1"/>
  <c r="O9" i="1"/>
  <c r="P446" i="1"/>
  <c r="O422" i="1"/>
  <c r="M10" i="1"/>
  <c r="M11" i="1"/>
  <c r="L18" i="1"/>
  <c r="O18" i="1" s="1"/>
  <c r="L10" i="1"/>
  <c r="O315" i="1"/>
  <c r="N37" i="1"/>
  <c r="L37" i="1"/>
  <c r="M414" i="1"/>
  <c r="O37" i="20" l="1"/>
  <c r="O37" i="21"/>
  <c r="O11" i="21"/>
  <c r="P419" i="21"/>
  <c r="M414" i="21"/>
  <c r="P414" i="21" s="1"/>
  <c r="O8" i="21"/>
  <c r="M11" i="21"/>
  <c r="P11" i="21" s="1"/>
  <c r="M10" i="21"/>
  <c r="P13" i="21"/>
  <c r="O10" i="21"/>
  <c r="P30" i="21"/>
  <c r="M28" i="21"/>
  <c r="P28" i="21" s="1"/>
  <c r="M28" i="17"/>
  <c r="P28" i="17" s="1"/>
  <c r="M414" i="20"/>
  <c r="P414" i="20" s="1"/>
  <c r="P419" i="20"/>
  <c r="O11" i="20"/>
  <c r="P13" i="20"/>
  <c r="M10" i="20"/>
  <c r="M11" i="20"/>
  <c r="P11" i="20" s="1"/>
  <c r="O10" i="20"/>
  <c r="L8" i="20"/>
  <c r="O8" i="20" s="1"/>
  <c r="O414" i="20"/>
  <c r="P30" i="20"/>
  <c r="M28" i="20"/>
  <c r="P28" i="20" s="1"/>
  <c r="L8" i="19"/>
  <c r="O8" i="19" s="1"/>
  <c r="P37" i="17"/>
  <c r="O37" i="19"/>
  <c r="P37" i="19"/>
  <c r="P13" i="19"/>
  <c r="M11" i="19"/>
  <c r="P11" i="19" s="1"/>
  <c r="M10" i="19"/>
  <c r="O11" i="18"/>
  <c r="P30" i="19"/>
  <c r="M28" i="19"/>
  <c r="P28" i="19" s="1"/>
  <c r="P419" i="19"/>
  <c r="M414" i="19"/>
  <c r="P414" i="19" s="1"/>
  <c r="M28" i="12"/>
  <c r="P28" i="12" s="1"/>
  <c r="O10" i="18"/>
  <c r="O37" i="17"/>
  <c r="O37" i="18"/>
  <c r="M10" i="18"/>
  <c r="P13" i="18"/>
  <c r="M11" i="18"/>
  <c r="P11" i="18" s="1"/>
  <c r="M414" i="18"/>
  <c r="P414" i="18" s="1"/>
  <c r="P30" i="18"/>
  <c r="M28" i="18"/>
  <c r="P28" i="18" s="1"/>
  <c r="P37" i="18"/>
  <c r="L8" i="18"/>
  <c r="O8" i="18" s="1"/>
  <c r="P10" i="17"/>
  <c r="O37" i="8"/>
  <c r="O10" i="17"/>
  <c r="O37" i="16"/>
  <c r="L8" i="17"/>
  <c r="O8" i="17" s="1"/>
  <c r="P37" i="15"/>
  <c r="M8" i="17"/>
  <c r="P8" i="17" s="1"/>
  <c r="M414" i="17"/>
  <c r="P414" i="17" s="1"/>
  <c r="O10" i="15"/>
  <c r="P37" i="16"/>
  <c r="O10" i="16"/>
  <c r="L8" i="16"/>
  <c r="O8" i="16" s="1"/>
  <c r="L8" i="15"/>
  <c r="O8" i="15" s="1"/>
  <c r="P444" i="16"/>
  <c r="M414" i="16"/>
  <c r="P414" i="16" s="1"/>
  <c r="P30" i="16"/>
  <c r="M28" i="16"/>
  <c r="P28" i="16" s="1"/>
  <c r="P13" i="16"/>
  <c r="M10" i="16"/>
  <c r="M11" i="16"/>
  <c r="P11" i="16" s="1"/>
  <c r="O10" i="14"/>
  <c r="P13" i="15"/>
  <c r="M10" i="15"/>
  <c r="M11" i="15"/>
  <c r="P11" i="15" s="1"/>
  <c r="P30" i="15"/>
  <c r="M28" i="15"/>
  <c r="P28" i="15" s="1"/>
  <c r="M414" i="15"/>
  <c r="P414" i="15" s="1"/>
  <c r="P419" i="15"/>
  <c r="O37" i="13"/>
  <c r="P37" i="13"/>
  <c r="M10" i="14"/>
  <c r="P13" i="14"/>
  <c r="M11" i="14"/>
  <c r="P11" i="14" s="1"/>
  <c r="P30" i="14"/>
  <c r="M28" i="14"/>
  <c r="P28" i="14" s="1"/>
  <c r="L8" i="14"/>
  <c r="O8" i="14" s="1"/>
  <c r="P37" i="14"/>
  <c r="M414" i="14"/>
  <c r="P414" i="14" s="1"/>
  <c r="O37" i="14"/>
  <c r="M10" i="7"/>
  <c r="P10" i="7" s="1"/>
  <c r="P30" i="13"/>
  <c r="M28" i="13"/>
  <c r="P28" i="13" s="1"/>
  <c r="P13" i="13"/>
  <c r="M10" i="13"/>
  <c r="M11" i="13"/>
  <c r="P11" i="13" s="1"/>
  <c r="O10" i="13"/>
  <c r="L8" i="13"/>
  <c r="O8" i="13" s="1"/>
  <c r="P419" i="13"/>
  <c r="M414" i="13"/>
  <c r="P414" i="13" s="1"/>
  <c r="P18" i="12"/>
  <c r="M11" i="12"/>
  <c r="P11" i="12" s="1"/>
  <c r="P13" i="12"/>
  <c r="O10" i="12"/>
  <c r="O10" i="11"/>
  <c r="P10" i="12"/>
  <c r="M8" i="12"/>
  <c r="P8" i="12" s="1"/>
  <c r="M414" i="12"/>
  <c r="P414" i="12" s="1"/>
  <c r="P37" i="12"/>
  <c r="O37" i="12"/>
  <c r="L8" i="12"/>
  <c r="O8" i="12" s="1"/>
  <c r="P467" i="11"/>
  <c r="M414" i="11"/>
  <c r="P414" i="11" s="1"/>
  <c r="M11" i="7"/>
  <c r="P11" i="7" s="1"/>
  <c r="O8" i="11"/>
  <c r="P37" i="11"/>
  <c r="O37" i="10"/>
  <c r="M10" i="11"/>
  <c r="P13" i="11"/>
  <c r="M11" i="11"/>
  <c r="P11" i="11" s="1"/>
  <c r="O37" i="11"/>
  <c r="P30" i="11"/>
  <c r="M28" i="11"/>
  <c r="P28" i="11" s="1"/>
  <c r="O10" i="9"/>
  <c r="P8" i="10"/>
  <c r="M414" i="10"/>
  <c r="P414" i="10" s="1"/>
  <c r="P419" i="10"/>
  <c r="O11" i="10"/>
  <c r="P10" i="10"/>
  <c r="O10" i="10"/>
  <c r="L8" i="10"/>
  <c r="O8" i="10" s="1"/>
  <c r="P30" i="10"/>
  <c r="M28" i="10"/>
  <c r="P28" i="10" s="1"/>
  <c r="O11" i="7"/>
  <c r="P13" i="9"/>
  <c r="M10" i="9"/>
  <c r="M11" i="9"/>
  <c r="P11" i="9" s="1"/>
  <c r="P37" i="8"/>
  <c r="P30" i="9"/>
  <c r="M28" i="9"/>
  <c r="P28" i="9" s="1"/>
  <c r="O37" i="9"/>
  <c r="L8" i="9"/>
  <c r="O8" i="9" s="1"/>
  <c r="O37" i="6"/>
  <c r="P37" i="9"/>
  <c r="P444" i="9"/>
  <c r="M414" i="9"/>
  <c r="P414" i="9" s="1"/>
  <c r="O37" i="7"/>
  <c r="P37" i="6"/>
  <c r="M414" i="8"/>
  <c r="P414" i="8" s="1"/>
  <c r="P8" i="8"/>
  <c r="P11" i="8"/>
  <c r="P30" i="8"/>
  <c r="M28" i="8"/>
  <c r="P28" i="8" s="1"/>
  <c r="O10" i="8"/>
  <c r="L8" i="8"/>
  <c r="O8" i="8" s="1"/>
  <c r="P10" i="8"/>
  <c r="P37" i="7"/>
  <c r="M414" i="7"/>
  <c r="P414" i="7" s="1"/>
  <c r="O10" i="7"/>
  <c r="L8" i="7"/>
  <c r="O8" i="7" s="1"/>
  <c r="O8" i="3"/>
  <c r="O37" i="4"/>
  <c r="P11" i="5"/>
  <c r="P523" i="6"/>
  <c r="M414" i="6"/>
  <c r="P414" i="6" s="1"/>
  <c r="P13" i="6"/>
  <c r="M10" i="6"/>
  <c r="M11" i="6"/>
  <c r="P11" i="6" s="1"/>
  <c r="L8" i="6"/>
  <c r="O8" i="6" s="1"/>
  <c r="P30" i="6"/>
  <c r="M28" i="6"/>
  <c r="P28" i="6" s="1"/>
  <c r="P37" i="4"/>
  <c r="L8" i="5"/>
  <c r="O8" i="5" s="1"/>
  <c r="M414" i="5"/>
  <c r="P414" i="5" s="1"/>
  <c r="P37" i="5"/>
  <c r="O37" i="5"/>
  <c r="P30" i="5"/>
  <c r="M28" i="5"/>
  <c r="P28" i="5" s="1"/>
  <c r="M8" i="5"/>
  <c r="P8" i="5" s="1"/>
  <c r="O37" i="3"/>
  <c r="P37" i="3"/>
  <c r="M414" i="4"/>
  <c r="P414" i="4" s="1"/>
  <c r="O11" i="4"/>
  <c r="M11" i="4"/>
  <c r="P11" i="4" s="1"/>
  <c r="M10" i="4"/>
  <c r="P13" i="4"/>
  <c r="O10" i="4"/>
  <c r="P30" i="4"/>
  <c r="M28" i="4"/>
  <c r="P28" i="4" s="1"/>
  <c r="O8" i="4"/>
  <c r="M414" i="3"/>
  <c r="P414" i="3" s="1"/>
  <c r="P37" i="2"/>
  <c r="O37" i="2"/>
  <c r="P13" i="3"/>
  <c r="M10" i="3"/>
  <c r="M11" i="3"/>
  <c r="P11" i="3" s="1"/>
  <c r="O10" i="3"/>
  <c r="P30" i="3"/>
  <c r="M28" i="3"/>
  <c r="P28" i="3" s="1"/>
  <c r="P18" i="2"/>
  <c r="N10" i="2"/>
  <c r="N11" i="2"/>
  <c r="O11" i="2" s="1"/>
  <c r="O13" i="2"/>
  <c r="P31" i="2"/>
  <c r="O30" i="2"/>
  <c r="N28" i="2"/>
  <c r="O28" i="2" s="1"/>
  <c r="P444" i="2"/>
  <c r="M414" i="2"/>
  <c r="P414" i="2" s="1"/>
  <c r="P13" i="2"/>
  <c r="M10" i="2"/>
  <c r="M11" i="2"/>
  <c r="P30" i="2"/>
  <c r="M28" i="2"/>
  <c r="P28" i="2" s="1"/>
  <c r="P544" i="1"/>
  <c r="O13" i="1"/>
  <c r="O786" i="1"/>
  <c r="P655" i="1"/>
  <c r="O655" i="1"/>
  <c r="O37" i="1"/>
  <c r="L8" i="1"/>
  <c r="O30" i="1"/>
  <c r="N28" i="1"/>
  <c r="O28" i="1" s="1"/>
  <c r="N414" i="1"/>
  <c r="P414" i="1" s="1"/>
  <c r="P419" i="1"/>
  <c r="P30" i="1"/>
  <c r="O419" i="1"/>
  <c r="O31" i="1"/>
  <c r="P31" i="1"/>
  <c r="M8" i="1"/>
  <c r="P37" i="1"/>
  <c r="N10" i="1"/>
  <c r="N8" i="1" s="1"/>
  <c r="N11" i="1"/>
  <c r="O11" i="1" s="1"/>
  <c r="P10" i="21" l="1"/>
  <c r="M8" i="21"/>
  <c r="P8" i="21" s="1"/>
  <c r="P10" i="20"/>
  <c r="M8" i="20"/>
  <c r="P8" i="20" s="1"/>
  <c r="P10" i="19"/>
  <c r="M8" i="19"/>
  <c r="P8" i="19" s="1"/>
  <c r="P10" i="18"/>
  <c r="M8" i="18"/>
  <c r="P8" i="18" s="1"/>
  <c r="P10" i="16"/>
  <c r="M8" i="16"/>
  <c r="P8" i="16" s="1"/>
  <c r="P10" i="15"/>
  <c r="M8" i="15"/>
  <c r="P8" i="15" s="1"/>
  <c r="M8" i="7"/>
  <c r="P8" i="7" s="1"/>
  <c r="P10" i="14"/>
  <c r="M8" i="14"/>
  <c r="P8" i="14" s="1"/>
  <c r="P10" i="13"/>
  <c r="M8" i="13"/>
  <c r="P8" i="13" s="1"/>
  <c r="P10" i="11"/>
  <c r="M8" i="11"/>
  <c r="P8" i="11" s="1"/>
  <c r="P10" i="9"/>
  <c r="M8" i="9"/>
  <c r="P8" i="9" s="1"/>
  <c r="P10" i="6"/>
  <c r="M8" i="6"/>
  <c r="P8" i="6" s="1"/>
  <c r="P10" i="4"/>
  <c r="M8" i="4"/>
  <c r="P8" i="4" s="1"/>
  <c r="P10" i="3"/>
  <c r="M8" i="3"/>
  <c r="P8" i="3" s="1"/>
  <c r="P10" i="2"/>
  <c r="M8" i="2"/>
  <c r="P11" i="2"/>
  <c r="N8" i="2"/>
  <c r="O8" i="2" s="1"/>
  <c r="O10" i="2"/>
  <c r="O414" i="1"/>
  <c r="P28" i="1"/>
  <c r="O8" i="1"/>
  <c r="O10" i="1"/>
  <c r="P8" i="1"/>
  <c r="P11" i="1"/>
  <c r="P10" i="1"/>
  <c r="P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8E101F45-EB14-48E6-B9DC-800C3C22CDEA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<sst xmlns="http://schemas.openxmlformats.org/spreadsheetml/2006/main" count="32640" uniqueCount="361">
  <si>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</si>
  <si>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</si>
  <si>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</si>
  <si>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</si>
  <si>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</si>
  <si>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</si>
  <si>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</si>
  <si>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</si>
  <si>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</si>
  <si>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</si>
  <si>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</si>
  <si>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</si>
  <si>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</si>
  <si>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</si>
  <si>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</si>
  <si>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</si>
  <si>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</si>
  <si>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</si>
  <si>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</si>
  <si>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</si>
  <si>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</si>
  <si>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</si>
  <si>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</si>
  <si>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</si>
  <si>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</si>
  <si>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</si>
  <si>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</si>
  <si>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</si>
  <si>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</si>
  <si>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</si>
  <si>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</si>
  <si>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</si>
  <si>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</si>
  <si>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</si>
  <si>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</si>
  <si>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</si>
  <si>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</si>
  <si>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</si>
  <si>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</si>
  <si>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</si>
  <si>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</si>
  <si>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</si>
  <si>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</si>
  <si>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</si>
  <si>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</si>
  <si>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</si>
  <si>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</si>
  <si>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</si>
  <si>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</si>
  <si>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</si>
  <si>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</si>
  <si>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</si>
  <si>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</si>
  <si>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</si>
  <si>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</si>
  <si>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</si>
  <si>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</si>
  <si>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</si>
  <si>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</si>
  <si>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</si>
  <si>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</si>
  <si>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</si>
  <si>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</si>
  <si>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</si>
  <si>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</si>
  <si>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</si>
  <si>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</si>
  <si>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</si>
  <si>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</si>
  <si>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</si>
  <si>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</si>
  <si>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</si>
  <si>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</si>
  <si>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</si>
  <si>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</si>
  <si>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</si>
  <si>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</si>
  <si>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</si>
  <si>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</si>
  <si>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</si>
  <si>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</si>
  <si>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</si>
  <si>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</si>
  <si>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</si>
  <si>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</si>
  <si>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</si>
  <si>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</si>
  <si>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</si>
  <si>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</si>
  <si>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</si>
  <si>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</si>
  <si>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</si>
  <si>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</si>
  <si>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</si>
  <si>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</si>
  <si>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</si>
  <si>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</si>
  <si>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</si>
  <si>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</si>
  <si>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</si>
  <si>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</si>
  <si>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</si>
  <si>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</si>
  <si>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</si>
  <si>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</si>
  <si>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</si>
  <si>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</si>
  <si>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</si>
  <si>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</si>
  <si>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</si>
  <si>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</si>
  <si>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</si>
  <si>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</si>
  <si>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</si>
  <si>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</si>
  <si>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</si>
  <si>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</si>
  <si>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</si>
  <si>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</si>
  <si>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</si>
  <si>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</si>
  <si>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</si>
  <si>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</si>
  <si>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</si>
  <si>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</si>
  <si>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</si>
  <si>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</si>
  <si>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</si>
  <si>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</si>
  <si>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</si>
  <si>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</si>
  <si>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</si>
  <si>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</si>
  <si>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</si>
  <si>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</si>
  <si>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</si>
  <si>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</si>
  <si>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</si>
  <si>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</si>
  <si>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</si>
  <si>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</si>
  <si>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</si>
  <si>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</si>
  <si>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</si>
  <si>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</si>
  <si>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</si>
  <si>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</si>
  <si>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</si>
  <si>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</si>
  <si>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</si>
  <si>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</si>
  <si>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</si>
  <si>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</si>
  <si>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</si>
  <si>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</si>
  <si>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</si>
  <si>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</si>
  <si>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</si>
  <si>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</si>
  <si>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</si>
  <si>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</si>
  <si>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</si>
  <si>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</si>
  <si>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</si>
  <si>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</si>
  <si>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</si>
  <si>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</si>
  <si>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</si>
  <si>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</si>
  <si>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</si>
  <si>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</si>
  <si>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</si>
  <si>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</si>
  <si>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</si>
  <si>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</si>
  <si>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</si>
  <si>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</si>
  <si>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</si>
  <si>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</si>
  <si>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</si>
  <si>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</si>
  <si>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</si>
  <si>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</si>
  <si>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</si>
  <si>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</si>
  <si>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</si>
  <si>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</si>
  <si>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</si>
  <si>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</si>
  <si>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</si>
  <si>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</si>
  <si>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</si>
  <si>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</si>
  <si>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</si>
  <si>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</si>
  <si>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</si>
  <si>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</si>
  <si>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</si>
  <si>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</si>
  <si>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</si>
  <si>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</si>
  <si>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</si>
  <si>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</si>
  <si>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</si>
  <si>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</si>
  <si>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</si>
  <si>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</si>
  <si>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</si>
  <si>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</si>
  <si>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</si>
  <si>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</si>
  <si>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</si>
  <si>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</si>
  <si>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</si>
  <si>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</si>
  <si>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</si>
  <si>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</si>
  <si>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</si>
  <si>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</si>
  <si>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</si>
  <si>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</si>
  <si>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</si>
  <si>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</si>
  <si>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</si>
  <si>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</si>
  <si>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</si>
  <si>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</si>
  <si>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</si>
  <si>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</si>
  <si>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</si>
  <si>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</si>
  <si>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</si>
  <si>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</si>
  <si>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</si>
  <si>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</si>
  <si>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</si>
  <si>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</si>
  <si>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</si>
  <si>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</si>
  <si>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</si>
  <si>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</si>
  <si>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</si>
  <si>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</si>
  <si>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</si>
  <si>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</si>
  <si>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</si>
  <si>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</si>
  <si>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</si>
  <si>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</si>
  <si>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</si>
  <si>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</si>
  <si>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</si>
  <si>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</si>
  <si>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</si>
  <si>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</si>
  <si>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</si>
  <si>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</si>
  <si>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</si>
  <si>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</si>
  <si>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</si>
  <si>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</si>
  <si>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</si>
  <si>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</si>
  <si>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</si>
  <si>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</si>
  <si>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</si>
  <si>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</si>
  <si>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</si>
  <si>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</si>
  <si>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</si>
  <si>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</si>
  <si>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</si>
  <si>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</si>
  <si>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</si>
  <si>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</si>
  <si>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</si>
  <si>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</si>
  <si>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</si>
  <si>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</si>
  <si>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</si>
  <si>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</si>
  <si>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</si>
  <si>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</si>
  <si>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</si>
  <si>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</si>
  <si>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</si>
  <si>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</si>
  <si>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</si>
  <si>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</si>
  <si>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</si>
  <si>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</si>
  <si>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</si>
  <si>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</si>
  <si>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</si>
  <si>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</si>
  <si>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</si>
  <si>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</si>
  <si>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</si>
  <si>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</si>
  <si>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</si>
  <si>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</si>
  <si>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</si>
  <si>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</si>
  <si>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</si>
  <si>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</si>
  <si>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</si>
  <si>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</si>
  <si>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</si>
  <si>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</si>
  <si>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</si>
  <si>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</si>
  <si>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</si>
  <si>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</si>
  <si>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</si>
  <si>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</si>
  <si>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</si>
  <si>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</si>
  <si>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</si>
  <si>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</si>
  <si>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</si>
  <si>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</si>
  <si>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</si>
  <si>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</si>
  <si>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</si>
  <si>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</si>
  <si>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</si>
  <si>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</si>
  <si>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</si>
  <si>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</si>
  <si>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</si>
  <si>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ข้อมูล ณ วันที่ 18 เมษายน 2566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</si>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</sst>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33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0" fillId="0" borderId="0" xfId="0"/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1" fillId="8" borderId="5" xfId="0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1" fillId="13" borderId="10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1" fillId="15" borderId="5" xfId="0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1" fillId="16" borderId="10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10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5" fillId="2" borderId="13" xfId="0" quotePrefix="1" applyFont="1" applyFill="1" applyBorder="1"/>
    <xf numFmtId="188" fontId="6" fillId="10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23" borderId="13" xfId="0" applyFont="1" applyFill="1" applyBorder="1"/>
    <xf numFmtId="187" fontId="1" fillId="2" borderId="10" xfId="0" applyNumberFormat="1" applyFont="1" applyFill="1" applyBorder="1"/>
    <xf numFmtId="0" fontId="15" fillId="23" borderId="10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8" fontId="32" fillId="10" borderId="11" xfId="0" applyNumberFormat="1" applyFont="1" applyFill="1" applyBorder="1"/>
    <xf numFmtId="0" fontId="29" fillId="0" borderId="0" xfId="0" applyFont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9" fontId="4" fillId="26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10" borderId="4" xfId="0" applyNumberFormat="1" applyFont="1" applyFill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5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187" fontId="44" fillId="30" borderId="9" xfId="0" applyNumberFormat="1" applyFont="1" applyFill="1" applyBorder="1"/>
    <xf numFmtId="187" fontId="44" fillId="30" borderId="10" xfId="0" applyNumberFormat="1" applyFont="1" applyFill="1" applyBorder="1"/>
    <xf numFmtId="0" fontId="45" fillId="30" borderId="10" xfId="0" applyFont="1" applyFill="1" applyBorder="1"/>
    <xf numFmtId="0" fontId="44" fillId="30" borderId="10" xfId="0" applyFont="1" applyFill="1" applyBorder="1"/>
    <xf numFmtId="0" fontId="44" fillId="30" borderId="11" xfId="0" applyFont="1" applyFill="1" applyBorder="1"/>
    <xf numFmtId="189" fontId="47" fillId="30" borderId="11" xfId="0" applyNumberFormat="1" applyFont="1" applyFill="1" applyBorder="1"/>
    <xf numFmtId="188" fontId="47" fillId="30" borderId="11" xfId="0" applyNumberFormat="1" applyFont="1" applyFill="1" applyBorder="1"/>
    <xf numFmtId="188" fontId="48" fillId="30" borderId="11" xfId="0" applyNumberFormat="1" applyFont="1" applyFill="1" applyBorder="1"/>
    <xf numFmtId="0" fontId="50" fillId="30" borderId="10" xfId="0" applyFont="1" applyFill="1" applyBorder="1"/>
    <xf numFmtId="0" fontId="48" fillId="30" borderId="11" xfId="0" applyFont="1" applyFill="1" applyBorder="1"/>
    <xf numFmtId="189" fontId="48" fillId="30" borderId="11" xfId="0" applyNumberFormat="1" applyFont="1" applyFill="1" applyBorder="1"/>
    <xf numFmtId="41" fontId="47" fillId="30" borderId="11" xfId="0" applyNumberFormat="1" applyFont="1" applyFill="1" applyBorder="1"/>
    <xf numFmtId="187" fontId="2" fillId="23" borderId="12" xfId="0" applyNumberFormat="1" applyFont="1" applyFill="1" applyBorder="1"/>
    <xf numFmtId="187" fontId="2" fillId="23" borderId="13" xfId="0" applyNumberFormat="1" applyFont="1" applyFill="1" applyBorder="1"/>
    <xf numFmtId="0" fontId="5" fillId="23" borderId="13" xfId="0" applyFont="1" applyFill="1" applyBorder="1"/>
    <xf numFmtId="0" fontId="2" fillId="23" borderId="14" xfId="0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0" fontId="5" fillId="2" borderId="13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0" fontId="55" fillId="2" borderId="10" xfId="0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6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5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8" fillId="2" borderId="11" xfId="0" applyFont="1" applyFill="1" applyBorder="1"/>
    <xf numFmtId="187" fontId="55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0" fontId="60" fillId="2" borderId="10" xfId="0" applyFont="1" applyFill="1" applyBorder="1"/>
    <xf numFmtId="188" fontId="26" fillId="2" borderId="11" xfId="0" applyNumberFormat="1" applyFont="1" applyFill="1" applyBorder="1"/>
    <xf numFmtId="0" fontId="61" fillId="2" borderId="10" xfId="0" applyFont="1" applyFill="1" applyBorder="1"/>
    <xf numFmtId="187" fontId="9" fillId="2" borderId="9" xfId="0" applyNumberFormat="1" applyFont="1" applyFill="1" applyBorder="1"/>
    <xf numFmtId="0" fontId="60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55" fillId="21" borderId="10" xfId="0" quotePrefix="1" applyFont="1" applyFill="1" applyBorder="1"/>
    <xf numFmtId="0" fontId="4" fillId="2" borderId="0" xfId="0" applyFont="1" applyFill="1"/>
    <xf numFmtId="0" fontId="64" fillId="2" borderId="10" xfId="0" applyFont="1" applyFill="1" applyBorder="1"/>
    <xf numFmtId="0" fontId="6" fillId="38" borderId="13" xfId="0" applyFont="1" applyFill="1" applyBorder="1"/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55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6" fillId="39" borderId="10" xfId="0" applyNumberFormat="1" applyFont="1" applyFill="1" applyBorder="1"/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55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9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60" fillId="2" borderId="10" xfId="0" applyFont="1" applyFill="1" applyBorder="1"/>
    <xf numFmtId="0" fontId="60" fillId="21" borderId="10" xfId="0" applyFont="1" applyFill="1" applyBorder="1"/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187" fontId="66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/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8" fontId="4" fillId="38" borderId="11" xfId="0" applyNumberFormat="1" applyFont="1" applyFill="1" applyBorder="1"/>
    <xf numFmtId="187" fontId="4" fillId="0" borderId="11" xfId="0" applyNumberFormat="1" applyFont="1" applyBorder="1"/>
    <xf numFmtId="187" fontId="9" fillId="38" borderId="10" xfId="0" applyNumberFormat="1" applyFont="1" applyFill="1" applyBorder="1"/>
    <xf numFmtId="0" fontId="61" fillId="2" borderId="10" xfId="0" applyFont="1" applyFill="1" applyBorder="1"/>
    <xf numFmtId="187" fontId="60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0" fontId="4" fillId="2" borderId="4" xfId="0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9" fontId="2" fillId="0" borderId="11" xfId="0" applyNumberFormat="1" applyFont="1" applyBorder="1"/>
    <xf numFmtId="188" fontId="2" fillId="0" borderId="11" xfId="0" applyNumberFormat="1" applyFont="1" applyBorder="1"/>
    <xf numFmtId="187" fontId="2" fillId="0" borderId="16" xfId="0" applyNumberFormat="1" applyFont="1" applyBorder="1"/>
    <xf numFmtId="0" fontId="32" fillId="0" borderId="10" xfId="0" applyFont="1" applyBorder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/>
    <xf numFmtId="0" fontId="4" fillId="10" borderId="4" xfId="0" applyFont="1" applyFill="1" applyBorder="1"/>
    <xf numFmtId="189" fontId="6" fillId="10" borderId="11" xfId="0" applyNumberFormat="1" applyFont="1" applyFill="1" applyBorder="1"/>
    <xf numFmtId="189" fontId="4" fillId="21" borderId="11" xfId="0" applyNumberFormat="1" applyFont="1" applyFill="1" applyBorder="1"/>
    <xf numFmtId="187" fontId="32" fillId="0" borderId="9" xfId="0" applyNumberFormat="1" applyFont="1" applyBorder="1"/>
    <xf numFmtId="187" fontId="32" fillId="0" borderId="10" xfId="0" applyNumberFormat="1" applyFont="1" applyBorder="1"/>
    <xf numFmtId="0" fontId="32" fillId="0" borderId="11" xfId="0" applyFont="1" applyBorder="1"/>
    <xf numFmtId="0" fontId="32" fillId="0" borderId="0" xfId="0" applyFont="1"/>
    <xf numFmtId="187" fontId="7" fillId="23" borderId="9" xfId="0" applyNumberFormat="1" applyFont="1" applyFill="1" applyBorder="1"/>
    <xf numFmtId="187" fontId="7" fillId="23" borderId="10" xfId="0" applyNumberFormat="1" applyFont="1" applyFill="1" applyBorder="1"/>
    <xf numFmtId="0" fontId="7" fillId="23" borderId="10" xfId="0" applyFont="1" applyFill="1" applyBorder="1"/>
    <xf numFmtId="0" fontId="7" fillId="23" borderId="11" xfId="0" applyFont="1" applyFill="1" applyBorder="1"/>
    <xf numFmtId="188" fontId="9" fillId="23" borderId="11" xfId="0" applyNumberFormat="1" applyFont="1" applyFill="1" applyBorder="1"/>
    <xf numFmtId="0" fontId="27" fillId="2" borderId="13" xfId="0" quotePrefix="1" applyFont="1" applyFill="1" applyBorder="1"/>
    <xf numFmtId="188" fontId="9" fillId="10" borderId="11" xfId="0" applyNumberFormat="1" applyFont="1" applyFill="1" applyBorder="1"/>
    <xf numFmtId="189" fontId="9" fillId="1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9.42578125" bestFit="1" customWidth="1"/>
    <col min="10" max="10" width="17.85546875" bestFit="1" customWidth="1"/>
    <col min="11" max="11" width="12" bestFit="1" customWidth="1"/>
    <col min="12" max="13" width="23.5703125" bestFit="1" customWidth="1"/>
    <col min="14" max="14" width="22" bestFit="1" customWidth="1"/>
    <col min="15" max="15" width="20.28515625" bestFit="1" customWidth="1"/>
    <col min="16" max="16" width="22.140625" bestFit="1" customWidth="1"/>
  </cols>
  <sheetData>
    <row r="1" spans="1:26" ht="19.5">
      <c r="A1" s="840" t="s">
        <v>0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</row>
    <row r="2" spans="1:26" ht="19.5">
      <c r="A2" s="840" t="s">
        <v>1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</row>
    <row r="3" spans="1:26" ht="19.5">
      <c r="A3" s="840" t="s">
        <v>330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8" t="s">
        <v>2</v>
      </c>
      <c r="B5" s="841"/>
      <c r="C5" s="841"/>
      <c r="D5" s="841"/>
      <c r="E5" s="841"/>
      <c r="F5" s="841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1" t="s">
        <v>15</v>
      </c>
      <c r="B7" s="845"/>
      <c r="C7" s="845"/>
      <c r="D7" s="845"/>
      <c r="E7" s="845"/>
      <c r="F7" s="845"/>
      <c r="G7" s="84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137966104.21000001</v>
      </c>
      <c r="N8" s="22">
        <f t="shared" ca="1" si="0"/>
        <v>83162280.75999999</v>
      </c>
      <c r="O8" s="22">
        <f t="shared" ref="O8:O16" ca="1" si="1">IF(L8&gt;0,N8*100/L8,0)</f>
        <v>53.906503704178185</v>
      </c>
      <c r="P8" s="22">
        <f t="shared" ref="P8:P16" ca="1" si="2">IF(M8&gt;0,N8*100/M8,0)</f>
        <v>60.2773277075488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137966104.21000001</v>
      </c>
      <c r="N10" s="30">
        <f t="shared" ca="1" si="4"/>
        <v>83162280.75999999</v>
      </c>
      <c r="O10" s="30">
        <f t="shared" ca="1" si="1"/>
        <v>53.906503704178185</v>
      </c>
      <c r="P10" s="30">
        <f t="shared" ca="1" si="2"/>
        <v>60.2773277075488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124987112.40000001</v>
      </c>
      <c r="N11" s="38">
        <f t="shared" ca="1" si="5"/>
        <v>71693788.949999988</v>
      </c>
      <c r="O11" s="38">
        <f t="shared" ca="1" si="1"/>
        <v>51.191884189556298</v>
      </c>
      <c r="P11" s="38">
        <f t="shared" ca="1" si="2"/>
        <v>57.360945119330552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124987112.40000001</v>
      </c>
      <c r="N13" s="45">
        <f t="shared" ca="1" si="7"/>
        <v>71693788.949999988</v>
      </c>
      <c r="O13" s="45">
        <f t="shared" ca="1" si="1"/>
        <v>51.191884189556298</v>
      </c>
      <c r="P13" s="45">
        <f t="shared" ca="1" si="2"/>
        <v>57.360945119330552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12978991.809999999</v>
      </c>
      <c r="N14" s="38">
        <f t="shared" ca="1" si="8"/>
        <v>11468491.809999999</v>
      </c>
      <c r="O14" s="38">
        <f t="shared" ca="1" si="1"/>
        <v>80.637959035873479</v>
      </c>
      <c r="P14" s="38">
        <f t="shared" ca="1" si="2"/>
        <v>88.361961991252684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12978991.809999999</v>
      </c>
      <c r="N16" s="52">
        <f t="shared" ca="1" si="10"/>
        <v>11468491.809999999</v>
      </c>
      <c r="O16" s="52">
        <f t="shared" ca="1" si="1"/>
        <v>80.637959035873479</v>
      </c>
      <c r="P16" s="52">
        <f t="shared" ca="1" si="2"/>
        <v>88.361961991252684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1" t="s">
        <v>22</v>
      </c>
      <c r="B17" s="845"/>
      <c r="C17" s="845"/>
      <c r="D17" s="845"/>
      <c r="E17" s="845"/>
      <c r="F17" s="845"/>
      <c r="G17" s="84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84276190.210000008</v>
      </c>
      <c r="N18" s="22">
        <f t="shared" ca="1" si="11"/>
        <v>60389182.959999993</v>
      </c>
      <c r="O18" s="22">
        <f t="shared" ref="O18:O26" ca="1" si="12">IF(L18&gt;0,N18*100/L18,0)</f>
        <v>60.053334685769826</v>
      </c>
      <c r="P18" s="22">
        <f t="shared" ref="P18:P26" ca="1" si="13">IF(M18&gt;0,N18*100/M18,0)</f>
        <v>71.656280154005302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84276190.210000008</v>
      </c>
      <c r="N20" s="30">
        <f t="shared" ca="1" si="15"/>
        <v>60389182.959999993</v>
      </c>
      <c r="O20" s="30">
        <f t="shared" ca="1" si="12"/>
        <v>60.053334685769826</v>
      </c>
      <c r="P20" s="30">
        <f t="shared" ca="1" si="13"/>
        <v>71.656280154005302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71297198.400000006</v>
      </c>
      <c r="N21" s="38">
        <f t="shared" ca="1" si="16"/>
        <v>48920691.149999991</v>
      </c>
      <c r="O21" s="38">
        <f t="shared" ca="1" si="12"/>
        <v>56.662453894359366</v>
      </c>
      <c r="P21" s="38">
        <f t="shared" ca="1" si="13"/>
        <v>68.615166160582248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71297198.400000006</v>
      </c>
      <c r="N23" s="45">
        <f ca="1">N46+N58+N71+N93+N124+N137+N154+N186+N170+N266+N282+N303+N320+N333+N350+N394+N407</f>
        <v>48920691.149999991</v>
      </c>
      <c r="O23" s="45">
        <f t="shared" ca="1" si="12"/>
        <v>56.662453894359366</v>
      </c>
      <c r="P23" s="45">
        <f t="shared" ca="1" si="13"/>
        <v>68.615166160582248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12978991.809999999</v>
      </c>
      <c r="N24" s="38">
        <f t="shared" ca="1" si="18"/>
        <v>11468491.809999999</v>
      </c>
      <c r="O24" s="38">
        <f t="shared" ca="1" si="12"/>
        <v>80.637959035873479</v>
      </c>
      <c r="P24" s="38">
        <f t="shared" ca="1" si="13"/>
        <v>88.361961991252684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12978991.809999999</v>
      </c>
      <c r="N26" s="52">
        <f t="shared" ca="1" si="20"/>
        <v>11468491.809999999</v>
      </c>
      <c r="O26" s="52">
        <f t="shared" ca="1" si="12"/>
        <v>80.637959035873479</v>
      </c>
      <c r="P26" s="52">
        <f t="shared" ca="1" si="13"/>
        <v>88.361961991252684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1" t="s">
        <v>23</v>
      </c>
      <c r="B27" s="845"/>
      <c r="C27" s="845"/>
      <c r="D27" s="845"/>
      <c r="E27" s="845"/>
      <c r="F27" s="845"/>
      <c r="G27" s="84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22773097.799999993</v>
      </c>
      <c r="O28" s="22">
        <f t="shared" ref="O28:O37" ca="1" si="22">IF(L28&gt;0,N28*100/L28,0)</f>
        <v>42.398464881671586</v>
      </c>
      <c r="P28" s="22">
        <f t="shared" ref="P28:P31" ca="1" si="23">IF(M28&gt;0,N28*100/M28,0)</f>
        <v>42.415969971566717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22773097.799999993</v>
      </c>
      <c r="O30" s="30">
        <f t="shared" ca="1" si="22"/>
        <v>42.398464881671586</v>
      </c>
      <c r="P30" s="30">
        <f t="shared" ca="1" si="23"/>
        <v>42.415969971566717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22773097.799999993</v>
      </c>
      <c r="O31" s="38">
        <f t="shared" ca="1" si="22"/>
        <v>42.398464881671586</v>
      </c>
      <c r="P31" s="38">
        <f t="shared" ca="1" si="23"/>
        <v>42.415969971566717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22773097.799999993</v>
      </c>
      <c r="O33" s="45">
        <f t="shared" ca="1" si="22"/>
        <v>42.398464881671586</v>
      </c>
      <c r="P33" s="45">
        <f t="shared" ref="P33:P37" ca="1" si="29">IF(M33&gt;0,N33*100/M33,0)</f>
        <v>42.415969971566717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80512090.210000008</v>
      </c>
      <c r="N37" s="59">
        <f ca="1">N41+N53+N66+N88+N119+N132+N149+N165+N181+N261+N277+N298+N315+N328+N345+N389+N402</f>
        <v>60389182.959999986</v>
      </c>
      <c r="O37" s="59">
        <f t="shared" ca="1" si="22"/>
        <v>60.053334685769826</v>
      </c>
      <c r="P37" s="59">
        <f t="shared" ca="1" si="29"/>
        <v>75.006353458824179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2" t="s">
        <v>27</v>
      </c>
      <c r="C40" s="853"/>
      <c r="D40" s="853"/>
      <c r="E40" s="853"/>
      <c r="F40" s="853"/>
      <c r="G40" s="854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13480371.4</v>
      </c>
      <c r="N41" s="85">
        <f t="shared" ca="1" si="33"/>
        <v>7893331.9199999999</v>
      </c>
      <c r="O41" s="85">
        <f t="shared" ref="O41:O45" ca="1" si="34">IF(L41&gt;0,N41*100/L41,0)</f>
        <v>59.827656299148444</v>
      </c>
      <c r="P41" s="85">
        <f t="shared" ref="P41:P49" ca="1" si="35">IF(M41&gt;0,N41*100/M41,0)</f>
        <v>58.554261494605406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13480371.4</v>
      </c>
      <c r="N43" s="92">
        <f t="shared" ca="1" si="37"/>
        <v>7893331.9199999999</v>
      </c>
      <c r="O43" s="92">
        <f t="shared" ca="1" si="34"/>
        <v>59.827656299148444</v>
      </c>
      <c r="P43" s="92">
        <f t="shared" ca="1" si="35"/>
        <v>58.554261494605406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13480371.4</v>
      </c>
      <c r="N44" s="38">
        <f t="shared" ca="1" si="38"/>
        <v>7893331.9199999999</v>
      </c>
      <c r="O44" s="38">
        <f t="shared" ca="1" si="34"/>
        <v>59.827656299148444</v>
      </c>
      <c r="P44" s="38">
        <f t="shared" ca="1" si="35"/>
        <v>58.554261494605406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"),13480371.4)</f>
        <v>13480371.4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"),7893331.92)</f>
        <v>7893331.9199999999</v>
      </c>
      <c r="O46" s="45">
        <f ca="1">IF(M46&gt;0,N46*100/M46,0)</f>
        <v>58.554261494605406</v>
      </c>
      <c r="P46" s="45">
        <f t="shared" ca="1" si="35"/>
        <v>58.554261494605406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5" t="s">
        <v>28</v>
      </c>
      <c r="B50" s="845"/>
      <c r="C50" s="845"/>
      <c r="D50" s="845"/>
      <c r="E50" s="845"/>
      <c r="F50" s="845"/>
      <c r="G50" s="84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6" t="s">
        <v>29</v>
      </c>
      <c r="C51" s="853"/>
      <c r="D51" s="853"/>
      <c r="E51" s="853"/>
      <c r="F51" s="853"/>
      <c r="G51" s="854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20274991.809999999</v>
      </c>
      <c r="N53" s="116">
        <f t="shared" ca="1" si="41"/>
        <v>16088738.379999988</v>
      </c>
      <c r="O53" s="116">
        <f t="shared" ref="O53:O61" ca="1" si="42">IF(L53&gt;0,N53*100/L53,0)</f>
        <v>64.339254741842936</v>
      </c>
      <c r="P53" s="116">
        <f t="shared" ref="P53:P61" ca="1" si="43">IF(M53&gt;0,N53*100/M53,0)</f>
        <v>79.35262579028381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20274991.809999999</v>
      </c>
      <c r="N55" s="123">
        <f t="shared" ca="1" si="45"/>
        <v>16088738.379999988</v>
      </c>
      <c r="O55" s="123">
        <f t="shared" ca="1" si="42"/>
        <v>64.339254741842936</v>
      </c>
      <c r="P55" s="123">
        <f t="shared" ca="1" si="43"/>
        <v>79.35262579028381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12329505</v>
      </c>
      <c r="N56" s="38">
        <f t="shared" ca="1" si="46"/>
        <v>9653251.5699999891</v>
      </c>
      <c r="O56" s="38">
        <f t="shared" ca="1" si="42"/>
        <v>60.578544031728633</v>
      </c>
      <c r="P56" s="38">
        <f t="shared" ca="1" si="43"/>
        <v>78.293910177253579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"),12329505)</f>
        <v>12329505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"),9653251.56999999)</f>
        <v>9653251.5699999891</v>
      </c>
      <c r="O58" s="45">
        <f t="shared" ca="1" si="42"/>
        <v>60.578544031728633</v>
      </c>
      <c r="P58" s="45">
        <f t="shared" ca="1" si="43"/>
        <v>78.293910177253579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7945486.8099999996</v>
      </c>
      <c r="N59" s="38">
        <f t="shared" ca="1" si="47"/>
        <v>6435486.8099999996</v>
      </c>
      <c r="O59" s="38">
        <f t="shared" ca="1" si="42"/>
        <v>70.945726050049615</v>
      </c>
      <c r="P59" s="38">
        <f t="shared" ca="1" si="43"/>
        <v>80.995500513580239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"),7945486.81)</f>
        <v>7945486.8099999996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"),6435486.81)</f>
        <v>6435486.8099999996</v>
      </c>
      <c r="O61" s="52">
        <f t="shared" ca="1" si="42"/>
        <v>70.945726050049615</v>
      </c>
      <c r="P61" s="52">
        <f t="shared" ca="1" si="43"/>
        <v>80.995500513580239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9957240</v>
      </c>
      <c r="N66" s="155">
        <f t="shared" ca="1" si="51"/>
        <v>7606118.7999999998</v>
      </c>
      <c r="O66" s="155">
        <f t="shared" ref="O66:O74" ca="1" si="52">IF(L66&gt;0,N66*100/L66,0)</f>
        <v>58.811712673007037</v>
      </c>
      <c r="P66" s="155">
        <f t="shared" ref="P66:P74" ca="1" si="53">IF(M66&gt;0,N66*100/M66,0)</f>
        <v>76.387822328275703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9957240</v>
      </c>
      <c r="N68" s="45">
        <f t="shared" ca="1" si="55"/>
        <v>7606118.7999999998</v>
      </c>
      <c r="O68" s="45">
        <f t="shared" ca="1" si="52"/>
        <v>58.811712673007037</v>
      </c>
      <c r="P68" s="45">
        <f t="shared" ca="1" si="53"/>
        <v>76.387822328275703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9957240</v>
      </c>
      <c r="N69" s="38">
        <f t="shared" ca="1" si="56"/>
        <v>7606118.7999999998</v>
      </c>
      <c r="O69" s="38">
        <f t="shared" ca="1" si="52"/>
        <v>58.811712673007037</v>
      </c>
      <c r="P69" s="38">
        <f t="shared" ca="1" si="53"/>
        <v>76.387822328275703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"),9957240)</f>
        <v>9957240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"),7606118.8)</f>
        <v>7606118.7999999998</v>
      </c>
      <c r="O71" s="45">
        <f t="shared" ca="1" si="52"/>
        <v>58.811712673007037</v>
      </c>
      <c r="P71" s="45">
        <f t="shared" ca="1" si="53"/>
        <v>76.387822328275703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"),6)</f>
        <v>6</v>
      </c>
      <c r="K84" s="163">
        <f t="shared" ca="1" si="59"/>
        <v>35.294117647058826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1878460</v>
      </c>
      <c r="N88" s="155">
        <f t="shared" ca="1" si="64"/>
        <v>1506473.47</v>
      </c>
      <c r="O88" s="155">
        <f t="shared" ref="O88:O96" ca="1" si="65">IF(L88&gt;0,N88*100/L88,0)</f>
        <v>65.519926846028724</v>
      </c>
      <c r="P88" s="155">
        <f t="shared" ref="P88:P96" ca="1" si="66">IF(M88&gt;0,N88*100/M88,0)</f>
        <v>80.197261054267855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1878460</v>
      </c>
      <c r="N90" s="45">
        <f t="shared" ca="1" si="68"/>
        <v>1506473.47</v>
      </c>
      <c r="O90" s="45">
        <f t="shared" ca="1" si="65"/>
        <v>65.519926846028724</v>
      </c>
      <c r="P90" s="45">
        <f t="shared" ca="1" si="66"/>
        <v>80.197261054267855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1878460</v>
      </c>
      <c r="N91" s="38">
        <f t="shared" ca="1" si="69"/>
        <v>1506473.47</v>
      </c>
      <c r="O91" s="38">
        <f t="shared" ca="1" si="65"/>
        <v>65.519926846028724</v>
      </c>
      <c r="P91" s="38">
        <f t="shared" ca="1" si="66"/>
        <v>80.197261054267855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"),1878460)</f>
        <v>1878460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"),1506473.47)</f>
        <v>1506473.47</v>
      </c>
      <c r="O93" s="45">
        <f t="shared" ca="1" si="65"/>
        <v>65.519926846028724</v>
      </c>
      <c r="P93" s="45">
        <f t="shared" ca="1" si="66"/>
        <v>80.197261054267855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27</v>
      </c>
      <c r="K100" s="38">
        <f t="shared" ca="1" si="71"/>
        <v>81.818181818181813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"),17)</f>
        <v>17</v>
      </c>
      <c r="K106" s="38">
        <f t="shared" ref="K106:K107" ca="1" si="73">IF(I106&gt;0,J106*100/I106,0)</f>
        <v>94.444444444444443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"),17)</f>
        <v>17</v>
      </c>
      <c r="K107" s="38">
        <f t="shared" ca="1" si="73"/>
        <v>94.444444444444443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"),9)</f>
        <v>9</v>
      </c>
      <c r="K109" s="38">
        <f t="shared" ref="K109:K116" ca="1" si="74">IF(I109&gt;0,J109*100/I109,0)</f>
        <v>60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"),10)</f>
        <v>10</v>
      </c>
      <c r="K110" s="38">
        <f t="shared" ca="1" si="74"/>
        <v>66.666666666666671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20</v>
      </c>
      <c r="K111" s="195">
        <f t="shared" ca="1" si="74"/>
        <v>7.5471698113207548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1</v>
      </c>
      <c r="K112" s="195">
        <f t="shared" ca="1" si="74"/>
        <v>3.0303030303030303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"),20)</f>
        <v>20</v>
      </c>
      <c r="K113" s="38">
        <f t="shared" ca="1" si="74"/>
        <v>7.5471698113207548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"),20)</f>
        <v>20</v>
      </c>
      <c r="K114" s="38">
        <f t="shared" ca="1" si="74"/>
        <v>7.5471698113207548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"),1)</f>
        <v>1</v>
      </c>
      <c r="K115" s="38">
        <f t="shared" ca="1" si="74"/>
        <v>5.5555555555555554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2309250</v>
      </c>
      <c r="N132" s="155">
        <f t="shared" ca="1" si="86"/>
        <v>2080447</v>
      </c>
      <c r="O132" s="155">
        <f t="shared" ref="O132:O140" ca="1" si="87">IF(L132&gt;0,N132*100/L132,0)</f>
        <v>84.55142507630346</v>
      </c>
      <c r="P132" s="155">
        <f t="shared" ref="P132:P140" ca="1" si="88">IF(M132&gt;0,N132*100/M132,0)</f>
        <v>90.091891306701314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2309250</v>
      </c>
      <c r="N134" s="45">
        <f t="shared" ca="1" si="90"/>
        <v>2080447</v>
      </c>
      <c r="O134" s="45">
        <f t="shared" ca="1" si="87"/>
        <v>84.55142507630346</v>
      </c>
      <c r="P134" s="45">
        <f t="shared" ca="1" si="88"/>
        <v>90.091891306701314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867250</v>
      </c>
      <c r="N135" s="38">
        <f t="shared" ca="1" si="91"/>
        <v>638947</v>
      </c>
      <c r="O135" s="38">
        <f t="shared" ca="1" si="87"/>
        <v>62.729807475185801</v>
      </c>
      <c r="P135" s="38">
        <f t="shared" ca="1" si="88"/>
        <v>73.675064860190261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"),867250)</f>
        <v>867250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"),638947)</f>
        <v>638947</v>
      </c>
      <c r="O137" s="45">
        <f t="shared" ca="1" si="87"/>
        <v>62.729807475185801</v>
      </c>
      <c r="P137" s="45">
        <f t="shared" ca="1" si="88"/>
        <v>73.675064860190261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107268</v>
      </c>
      <c r="O149" s="155">
        <f t="shared" ref="O149:O157" ca="1" si="96">IF(L149&gt;0,N149*100/L149,0)</f>
        <v>165.02769230769232</v>
      </c>
      <c r="P149" s="155">
        <f t="shared" ref="P149:P157" ca="1" si="97">IF(M149&gt;0,N149*100/M149,0)</f>
        <v>68.145607013531546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107268</v>
      </c>
      <c r="O151" s="45">
        <f t="shared" ca="1" si="96"/>
        <v>165.02769230769232</v>
      </c>
      <c r="P151" s="45">
        <f t="shared" ca="1" si="97"/>
        <v>68.145607013531546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107268</v>
      </c>
      <c r="O152" s="38">
        <f t="shared" ca="1" si="96"/>
        <v>165.02769230769232</v>
      </c>
      <c r="P152" s="38">
        <f t="shared" ca="1" si="97"/>
        <v>68.145607013531546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"),107268)</f>
        <v>107268</v>
      </c>
      <c r="O154" s="45">
        <f t="shared" ca="1" si="96"/>
        <v>165.02769230769232</v>
      </c>
      <c r="P154" s="45">
        <f t="shared" ca="1" si="97"/>
        <v>68.145607013531546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477672</v>
      </c>
      <c r="O165" s="155">
        <f t="shared" ref="O165:O173" ca="1" si="104">IF(L165&gt;0,N165*100/L165,0)</f>
        <v>113.17632564090414</v>
      </c>
      <c r="P165" s="155">
        <f t="shared" ref="P165:P173" ca="1" si="105">IF(M165&gt;0,N165*100/M165,0)</f>
        <v>94.265585222899773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477672</v>
      </c>
      <c r="O167" s="45">
        <f t="shared" ca="1" si="104"/>
        <v>113.17632564090414</v>
      </c>
      <c r="P167" s="45">
        <f t="shared" ca="1" si="105"/>
        <v>94.265585222899773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477672</v>
      </c>
      <c r="O168" s="38">
        <f t="shared" ca="1" si="104"/>
        <v>113.17632564090414</v>
      </c>
      <c r="P168" s="38">
        <f t="shared" ca="1" si="105"/>
        <v>94.265585222899773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"),477672)</f>
        <v>477672</v>
      </c>
      <c r="O170" s="45">
        <f t="shared" ca="1" si="104"/>
        <v>113.17632564090414</v>
      </c>
      <c r="P170" s="45">
        <f t="shared" ca="1" si="105"/>
        <v>94.265585222899773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3077400</v>
      </c>
      <c r="N181" s="155">
        <f t="shared" ca="1" si="112"/>
        <v>2175714.08</v>
      </c>
      <c r="O181" s="155">
        <f t="shared" ref="O181:O189" ca="1" si="113">IF(L181&gt;0,N181*100/L181,0)</f>
        <v>59.262770135919155</v>
      </c>
      <c r="P181" s="155">
        <f t="shared" ref="P181:P189" ca="1" si="114">IF(M181&gt;0,N181*100/M181,0)</f>
        <v>70.699749138883476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3077400</v>
      </c>
      <c r="N183" s="45">
        <f t="shared" ca="1" si="116"/>
        <v>2175714.08</v>
      </c>
      <c r="O183" s="45">
        <f t="shared" ca="1" si="113"/>
        <v>59.262770135919155</v>
      </c>
      <c r="P183" s="45">
        <f t="shared" ca="1" si="114"/>
        <v>70.699749138883476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3077400</v>
      </c>
      <c r="N184" s="38">
        <f t="shared" ca="1" si="117"/>
        <v>2175714.08</v>
      </c>
      <c r="O184" s="38">
        <f t="shared" ca="1" si="113"/>
        <v>59.262770135919155</v>
      </c>
      <c r="P184" s="38">
        <f t="shared" ca="1" si="114"/>
        <v>70.699749138883476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"),3077400)</f>
        <v>3077400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"),2175714.08)</f>
        <v>2175714.08</v>
      </c>
      <c r="O186" s="45">
        <f t="shared" ca="1" si="113"/>
        <v>59.262770135919155</v>
      </c>
      <c r="P186" s="45">
        <f t="shared" ca="1" si="114"/>
        <v>70.699749138883476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38</v>
      </c>
      <c r="K190" s="273">
        <f ca="1">IF(I190&gt;0,J190*100/I190,0)</f>
        <v>47.5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"),26785)</f>
        <v>26785</v>
      </c>
      <c r="O191" s="155">
        <f ca="1">IF(L191&gt;0,N191*100/L191,0)</f>
        <v>22.320833333333333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"),38)</f>
        <v>38</v>
      </c>
      <c r="K193" s="38">
        <f ca="1">IF(I193&gt;0,J193*100/I193,0)</f>
        <v>47.5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1190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"),1175)</f>
        <v>1175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604438</v>
      </c>
      <c r="O198" s="155">
        <f ca="1">IF(L198&gt;0,N198*100/L198,0)</f>
        <v>76.608111533586822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"),36348)</f>
        <v>36348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"),460570)</f>
        <v>460570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"),102520)</f>
        <v>102520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"),5000)</f>
        <v>5000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"),38)</f>
        <v>38</v>
      </c>
      <c r="K206" s="163">
        <f t="shared" ref="K206:K208" ca="1" si="121">IF(I206&gt;0,J206*100/I206,0)</f>
        <v>65.517241379310349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"),7)</f>
        <v>7</v>
      </c>
      <c r="K207" s="163">
        <f t="shared" ca="1" si="121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273217.25</v>
      </c>
      <c r="O209" s="155">
        <f ca="1">IF(L209&gt;0,N209*100/L209,0)</f>
        <v>72.279695767195761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"),16460)</f>
        <v>16460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"),50000)</f>
        <v>50000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"),206757.25)</f>
        <v>206757.25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"),11)</f>
        <v>11</v>
      </c>
      <c r="K214" s="38">
        <f t="shared" ref="K214:K216" ca="1" si="123">IF(I214&gt;0,J214*100/I214,0)</f>
        <v>40.74074074074074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47753</v>
      </c>
      <c r="O217" s="155">
        <f ca="1">IF(L217&gt;0,N217*100/L217,0)</f>
        <v>13.144233415909717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"),5700)</f>
        <v>5700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"),7068)</f>
        <v>7068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"),34985)</f>
        <v>34985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"),92800)</f>
        <v>92800</v>
      </c>
      <c r="K223" s="163">
        <f t="shared" ref="K223:K226" ca="1" si="125">IF(I223&gt;0,J223*100/I223,0)</f>
        <v>10.805775500698649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177300</v>
      </c>
      <c r="O227" s="311">
        <f ca="1">IF(L227&gt;0,N227*100/L227,0)</f>
        <v>31.888489208633093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92280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85020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0</v>
      </c>
      <c r="K235" s="322">
        <f t="shared" ref="K235:K237" ca="1" si="131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1</v>
      </c>
      <c r="K236" s="322">
        <f t="shared" ca="1" si="131"/>
        <v>50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177300</v>
      </c>
      <c r="O238" s="356">
        <f ca="1">IF(L238&gt;0,N238*100/L238,0)</f>
        <v>31.888489208633093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"),92280)</f>
        <v>92280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"),85020)</f>
        <v>85020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"),0)</f>
        <v>0</v>
      </c>
      <c r="K246" s="45">
        <f ca="1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"),1)</f>
        <v>1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706900</v>
      </c>
      <c r="N261" s="155">
        <f t="shared" ca="1" si="137"/>
        <v>602817.01</v>
      </c>
      <c r="O261" s="155">
        <f t="shared" ref="O261:O269" ca="1" si="138">IF(L261&gt;0,N261*100/L261,0)</f>
        <v>71.347734643153032</v>
      </c>
      <c r="P261" s="155">
        <f t="shared" ref="P261:P269" ca="1" si="139">IF(M261&gt;0,N261*100/M261,0)</f>
        <v>85.276136652991937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706900</v>
      </c>
      <c r="N263" s="45">
        <f t="shared" ca="1" si="141"/>
        <v>602817.01</v>
      </c>
      <c r="O263" s="45">
        <f t="shared" ca="1" si="138"/>
        <v>71.347734643153032</v>
      </c>
      <c r="P263" s="45">
        <f t="shared" ca="1" si="139"/>
        <v>85.276136652991937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706900</v>
      </c>
      <c r="N264" s="38">
        <f t="shared" ca="1" si="142"/>
        <v>602817.01</v>
      </c>
      <c r="O264" s="38">
        <f t="shared" ca="1" si="138"/>
        <v>71.347734643153032</v>
      </c>
      <c r="P264" s="38">
        <f t="shared" ca="1" si="139"/>
        <v>85.276136652991937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"),706900)</f>
        <v>706900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"),602817.01)</f>
        <v>602817.01</v>
      </c>
      <c r="O266" s="45">
        <f t="shared" ca="1" si="138"/>
        <v>71.347734643153032</v>
      </c>
      <c r="P266" s="45">
        <f t="shared" ca="1" si="139"/>
        <v>85.276136652991937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180</v>
      </c>
      <c r="K275" s="407">
        <f t="shared" ref="K275:K276" ca="1" si="145">IF(I275&gt;0,J275*100/I275,0)</f>
        <v>41.379310344827587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2059300</v>
      </c>
      <c r="N277" s="155">
        <f t="shared" ca="1" si="147"/>
        <v>1433581.93</v>
      </c>
      <c r="O277" s="155">
        <f t="shared" ref="O277:O285" ca="1" si="148">IF(L277&gt;0,N277*100/L277,0)</f>
        <v>52.251665870878149</v>
      </c>
      <c r="P277" s="155">
        <f t="shared" ref="P277:P285" ca="1" si="149">IF(M277&gt;0,N277*100/M277,0)</f>
        <v>69.61501141164473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2059300</v>
      </c>
      <c r="N279" s="45">
        <f t="shared" ca="1" si="151"/>
        <v>1433581.93</v>
      </c>
      <c r="O279" s="45">
        <f t="shared" ca="1" si="148"/>
        <v>52.251665870878149</v>
      </c>
      <c r="P279" s="45">
        <f t="shared" ca="1" si="149"/>
        <v>69.61501141164473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2059300</v>
      </c>
      <c r="N280" s="38">
        <f t="shared" ca="1" si="152"/>
        <v>1433581.93</v>
      </c>
      <c r="O280" s="38">
        <f t="shared" ca="1" si="148"/>
        <v>52.251665870878149</v>
      </c>
      <c r="P280" s="38">
        <f t="shared" ca="1" si="149"/>
        <v>69.61501141164473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"),2059300)</f>
        <v>2059300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"),1433581.93)</f>
        <v>1433581.93</v>
      </c>
      <c r="O282" s="45">
        <f t="shared" ca="1" si="148"/>
        <v>52.251665870878149</v>
      </c>
      <c r="P282" s="45">
        <f t="shared" ca="1" si="149"/>
        <v>69.61501141164473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"),180)</f>
        <v>180</v>
      </c>
      <c r="K288" s="411">
        <f t="shared" ca="1" si="154"/>
        <v>41.379310344827587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"),180)</f>
        <v>180</v>
      </c>
      <c r="K293" s="163">
        <f t="shared" ref="K293:K294" ca="1" si="156">IF(I293&gt;0,J293*100/I293,0)</f>
        <v>41.379310344827587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"),180)</f>
        <v>180</v>
      </c>
      <c r="K294" s="385">
        <f t="shared" ca="1" si="156"/>
        <v>41.379310344827587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1202900</v>
      </c>
      <c r="N298" s="155">
        <f t="shared" ca="1" si="158"/>
        <v>975650.179999999</v>
      </c>
      <c r="O298" s="155">
        <f t="shared" ref="O298:O306" ca="1" si="159">IF(L298&gt;0,N298*100/L298,0)</f>
        <v>61.773469672027289</v>
      </c>
      <c r="P298" s="155">
        <f t="shared" ref="P298:P306" ca="1" si="160">IF(M298&gt;0,N298*100/M298,0)</f>
        <v>81.108170255216478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1202900</v>
      </c>
      <c r="N300" s="45">
        <f t="shared" ca="1" si="162"/>
        <v>975650.179999999</v>
      </c>
      <c r="O300" s="45">
        <f t="shared" ca="1" si="159"/>
        <v>61.773469672027289</v>
      </c>
      <c r="P300" s="45">
        <f t="shared" ca="1" si="160"/>
        <v>81.108170255216478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1202900</v>
      </c>
      <c r="N301" s="38">
        <f t="shared" ca="1" si="163"/>
        <v>975650.179999999</v>
      </c>
      <c r="O301" s="38">
        <f t="shared" ca="1" si="159"/>
        <v>61.773469672027289</v>
      </c>
      <c r="P301" s="38">
        <f t="shared" ca="1" si="160"/>
        <v>81.108170255216478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"),1202900)</f>
        <v>1202900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"),975650.179999999)</f>
        <v>975650.179999999</v>
      </c>
      <c r="O303" s="45">
        <f t="shared" ca="1" si="159"/>
        <v>61.773469672027289</v>
      </c>
      <c r="P303" s="45">
        <f t="shared" ca="1" si="160"/>
        <v>81.108170255216478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"),205)</f>
        <v>205</v>
      </c>
      <c r="K310" s="38">
        <f t="shared" ca="1" si="165"/>
        <v>83.673469387755105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"),20)</f>
        <v>20</v>
      </c>
      <c r="K311" s="38">
        <f t="shared" ca="1" si="165"/>
        <v>8.1632653061224492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"),29)</f>
        <v>29</v>
      </c>
      <c r="K312" s="38">
        <f t="shared" ca="1" si="165"/>
        <v>59.183673469387756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645000</v>
      </c>
      <c r="N315" s="155">
        <f t="shared" ca="1" si="167"/>
        <v>410991.9</v>
      </c>
      <c r="O315" s="155">
        <f t="shared" ref="O315:O323" ca="1" si="168">IF(L315&gt;0,N315*100/L315,0)</f>
        <v>46.810011389521641</v>
      </c>
      <c r="P315" s="155">
        <f t="shared" ref="P315:P323" ca="1" si="169">IF(M315&gt;0,N315*100/M315,0)</f>
        <v>63.719674418604654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645000</v>
      </c>
      <c r="N317" s="45">
        <f t="shared" ca="1" si="171"/>
        <v>410991.9</v>
      </c>
      <c r="O317" s="45">
        <f t="shared" ca="1" si="168"/>
        <v>46.810011389521641</v>
      </c>
      <c r="P317" s="45">
        <f t="shared" ca="1" si="169"/>
        <v>63.719674418604654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645000</v>
      </c>
      <c r="N318" s="38">
        <f t="shared" ca="1" si="172"/>
        <v>410991.9</v>
      </c>
      <c r="O318" s="38">
        <f t="shared" ca="1" si="168"/>
        <v>46.810011389521641</v>
      </c>
      <c r="P318" s="38">
        <f t="shared" ca="1" si="169"/>
        <v>63.719674418604654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"),645000)</f>
        <v>645000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"),410991.9)</f>
        <v>410991.9</v>
      </c>
      <c r="O320" s="45">
        <f t="shared" ca="1" si="168"/>
        <v>46.810011389521641</v>
      </c>
      <c r="P320" s="45">
        <f t="shared" ca="1" si="169"/>
        <v>63.719674418604654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86685</v>
      </c>
      <c r="K327" s="445">
        <f ca="1">IF(I327&gt;0,J327*100/I327,0)</f>
        <v>101.00792356094151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3764100</v>
      </c>
      <c r="N328" s="155">
        <f t="shared" ca="1" si="174"/>
        <v>2625359.9299999997</v>
      </c>
      <c r="O328" s="155">
        <f t="shared" ref="O328:O336" ca="1" si="175">IF(L328&gt;0,N328*100/L328,0)</f>
        <v>55.992150017061931</v>
      </c>
      <c r="P328" s="155">
        <f t="shared" ref="P328:P336" ca="1" si="176">IF(M328&gt;0,N328*100/M328,0)</f>
        <v>69.747348104460556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3764100</v>
      </c>
      <c r="N330" s="45">
        <f t="shared" ca="1" si="178"/>
        <v>2625359.9299999997</v>
      </c>
      <c r="O330" s="45">
        <f t="shared" ca="1" si="175"/>
        <v>55.992150017061931</v>
      </c>
      <c r="P330" s="45">
        <f t="shared" ca="1" si="176"/>
        <v>69.747348104460556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3024100</v>
      </c>
      <c r="N331" s="38">
        <f t="shared" ca="1" si="179"/>
        <v>1885359.93</v>
      </c>
      <c r="O331" s="38">
        <f t="shared" ca="1" si="175"/>
        <v>49.113262738355736</v>
      </c>
      <c r="P331" s="38">
        <f t="shared" ca="1" si="176"/>
        <v>62.344496875103339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"),3024100)</f>
        <v>3024100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"),1885359.93)</f>
        <v>1885359.93</v>
      </c>
      <c r="O333" s="45">
        <f t="shared" ca="1" si="175"/>
        <v>49.113262738355736</v>
      </c>
      <c r="P333" s="45">
        <f t="shared" ca="1" si="176"/>
        <v>62.344496875103339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740000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"),740000)</f>
        <v>740000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"),79128)</f>
        <v>79128</v>
      </c>
      <c r="K338" s="38">
        <f ca="1">IF(I338&gt;0,J338*100/I338,0)</f>
        <v>92.20228384991843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"),99)</f>
        <v>99</v>
      </c>
      <c r="K340" s="38">
        <f ca="1">IF(I340&gt;0,J340*100/I340,0)</f>
        <v>62.658227848101269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"),7033)</f>
        <v>7033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"),12)</f>
        <v>12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"),512)</f>
        <v>512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23748352</v>
      </c>
      <c r="N345" s="155">
        <f t="shared" ca="1" si="181"/>
        <v>15897233.359999999</v>
      </c>
      <c r="O345" s="155">
        <f t="shared" ref="O345:O353" ca="1" si="182">IF(L345&gt;0,N345*100/L345,0)</f>
        <v>54.319802364518551</v>
      </c>
      <c r="P345" s="155">
        <f t="shared" ref="P345:P353" ca="1" si="183">IF(M345&gt;0,N345*100/M345,0)</f>
        <v>66.940364367177978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23748352</v>
      </c>
      <c r="N347" s="45">
        <f t="shared" ca="1" si="185"/>
        <v>15897233.359999999</v>
      </c>
      <c r="O347" s="45">
        <f t="shared" ca="1" si="182"/>
        <v>54.319802364518551</v>
      </c>
      <c r="P347" s="45">
        <f t="shared" ca="1" si="183"/>
        <v>66.940364367177978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21404632</v>
      </c>
      <c r="N348" s="38">
        <f t="shared" ca="1" si="186"/>
        <v>13553513.359999999</v>
      </c>
      <c r="O348" s="38">
        <f t="shared" ca="1" si="182"/>
        <v>50.357476462589077</v>
      </c>
      <c r="P348" s="38">
        <f t="shared" ca="1" si="183"/>
        <v>63.320468952701454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"),21404632)</f>
        <v>21404632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"),13553513.36)</f>
        <v>13553513.359999999</v>
      </c>
      <c r="O350" s="45">
        <f t="shared" ca="1" si="182"/>
        <v>50.357476462589077</v>
      </c>
      <c r="P350" s="45">
        <f t="shared" ca="1" si="183"/>
        <v>63.320468952701454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3515</v>
      </c>
      <c r="K355" s="465">
        <f ca="1">IF(I355&gt;0,J355*100/I355,0)</f>
        <v>24.286602639397501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"),7770)</f>
        <v>7770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"),64958.3799999999)</f>
        <v>64958.379999999903</v>
      </c>
      <c r="K359" s="38">
        <f t="shared" ca="1" si="188"/>
        <v>43.013097602966432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"),6661)</f>
        <v>6661</v>
      </c>
      <c r="K360" s="38">
        <f t="shared" ca="1" si="188"/>
        <v>46.023630207973468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"),56744.25)</f>
        <v>56744.25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"),3515)</f>
        <v>3515</v>
      </c>
      <c r="K362" s="38">
        <f t="shared" ca="1" si="188"/>
        <v>24.286602639397501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"),28826.32)</f>
        <v>28826.32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10496</v>
      </c>
      <c r="K364" s="479">
        <f t="shared" ca="1" si="188"/>
        <v>40.74850531873593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1452</v>
      </c>
      <c r="K365" s="491">
        <f t="shared" ca="1" si="188"/>
        <v>29.987608426270135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"),2604)</f>
        <v>2604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"),20486.91)</f>
        <v>20486.91</v>
      </c>
      <c r="K369" s="38">
        <f t="shared" ca="1" si="190"/>
        <v>40.713255166931638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"),1880)</f>
        <v>1880</v>
      </c>
      <c r="K370" s="38">
        <f t="shared" ca="1" si="190"/>
        <v>38.82693102023957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"),15172.09)</f>
        <v>15172.09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"),1452)</f>
        <v>1452</v>
      </c>
      <c r="K372" s="38">
        <f t="shared" ca="1" si="190"/>
        <v>29.987608426270135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"),11036.74)</f>
        <v>11036.74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9044</v>
      </c>
      <c r="K374" s="491">
        <f t="shared" ca="1" si="190"/>
        <v>43.239625167336008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"),5166)</f>
        <v>5166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"),44471.47)</f>
        <v>44471.47</v>
      </c>
      <c r="K378" s="497">
        <f t="shared" ca="1" si="191"/>
        <v>44.162333664349553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"),12509)</f>
        <v>12509</v>
      </c>
      <c r="K379" s="497">
        <f t="shared" ca="1" si="191"/>
        <v>59.805890227576974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"),138100.65)</f>
        <v>138100.65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"),9044)</f>
        <v>9044</v>
      </c>
      <c r="K381" s="497">
        <f t="shared" ca="1" si="191"/>
        <v>43.239625167336008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"),104675.81)</f>
        <v>104675.81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"),258)</f>
        <v>258</v>
      </c>
      <c r="K385" s="505">
        <f ca="1">IF(I385&gt;0,J385*100/I385,0)</f>
        <v>16.06475716064757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22773097.799999993</v>
      </c>
      <c r="O414" s="552">
        <f ca="1">IF(L414&gt;0,N414*100/L414,0)</f>
        <v>42.398464881671586</v>
      </c>
      <c r="P414" s="552">
        <f ca="1">IF(M414&gt;0,N414*100/M414,0)</f>
        <v>42.415969971566717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460</v>
      </c>
      <c r="K417" s="569">
        <f t="shared" ref="K417:K418" ca="1" si="212">IF(I417&gt;0,J417*100/I417,0)</f>
        <v>85.981308411214954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20</v>
      </c>
      <c r="K418" s="569">
        <f t="shared" ca="1" si="212"/>
        <v>90.909090909090907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7" t="s">
        <v>17</v>
      </c>
      <c r="E419" s="858"/>
      <c r="F419" s="858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1332914.3</v>
      </c>
      <c r="O419" s="155">
        <f t="shared" ref="O419:O424" ca="1" si="215">IF(L419&gt;0,N419*100/L419,0)</f>
        <v>65.179820829543559</v>
      </c>
      <c r="P419" s="155">
        <f t="shared" ref="P419:P424" ca="1" si="216">IF(M419&gt;0,N419*100/M419,0)</f>
        <v>65.371782390661977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1332914.3</v>
      </c>
      <c r="O421" s="45">
        <f t="shared" ca="1" si="215"/>
        <v>65.179820829543559</v>
      </c>
      <c r="P421" s="45">
        <f t="shared" ca="1" si="216"/>
        <v>65.371782390661977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1332914.3</v>
      </c>
      <c r="O422" s="38">
        <f t="shared" ca="1" si="215"/>
        <v>65.179820829543559</v>
      </c>
      <c r="P422" s="38">
        <f t="shared" ca="1" si="216"/>
        <v>65.371782390661977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1332914.3</v>
      </c>
      <c r="O424" s="45">
        <f t="shared" ca="1" si="215"/>
        <v>65.179820829543559</v>
      </c>
      <c r="P424" s="45">
        <f t="shared" ca="1" si="216"/>
        <v>65.371782390661977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"),953986)</f>
        <v>953986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"),369256.3)</f>
        <v>369256.3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"),460)</f>
        <v>460</v>
      </c>
      <c r="K433" s="195">
        <f t="shared" ref="K433:K435" ca="1" si="223">IF(I433&gt;0,J433*100/I433,0)</f>
        <v>85.981308411214954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20</v>
      </c>
      <c r="K434" s="195">
        <f t="shared" ca="1" si="223"/>
        <v>90.909090909090907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"),380)</f>
        <v>380</v>
      </c>
      <c r="K439" s="497">
        <f t="shared" ca="1" si="225"/>
        <v>83.516483516483518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"),18)</f>
        <v>18</v>
      </c>
      <c r="K440" s="38">
        <f t="shared" ca="1" si="225"/>
        <v>90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1320</v>
      </c>
      <c r="K442" s="589">
        <f t="shared" ca="1" si="225"/>
        <v>97.416974169741692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4665</v>
      </c>
      <c r="K443" s="569">
        <f t="shared" ca="1" si="225"/>
        <v>97.594142259414227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59" t="s">
        <v>17</v>
      </c>
      <c r="E444" s="853"/>
      <c r="F444" s="853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5571321.4000000004</v>
      </c>
      <c r="O444" s="195">
        <f t="shared" ref="O444:O449" ca="1" si="229">IF(L444&gt;0,N444*100/L444,0)</f>
        <v>56.579859016527962</v>
      </c>
      <c r="P444" s="195">
        <f t="shared" ref="P444:P449" ca="1" si="230">IF(M444&gt;0,N444*100/M444,0)</f>
        <v>56.672878521150039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5571321.4000000004</v>
      </c>
      <c r="O446" s="45">
        <f t="shared" ca="1" si="229"/>
        <v>56.579859016527962</v>
      </c>
      <c r="P446" s="45">
        <f t="shared" ca="1" si="230"/>
        <v>56.672878521150039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5571321.4000000004</v>
      </c>
      <c r="O447" s="38">
        <f t="shared" ca="1" si="229"/>
        <v>56.579859016527962</v>
      </c>
      <c r="P447" s="38">
        <f t="shared" ca="1" si="230"/>
        <v>56.672878521150039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5571321.4000000004</v>
      </c>
      <c r="O449" s="45">
        <f t="shared" ca="1" si="229"/>
        <v>56.579859016527962</v>
      </c>
      <c r="P449" s="45">
        <f t="shared" ca="1" si="230"/>
        <v>56.672878521150039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"),1592675)</f>
        <v>1592675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"),2382553)</f>
        <v>2382553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"),1054791.4)</f>
        <v>1054791.3999999999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"),541302)</f>
        <v>541302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"),1320)</f>
        <v>1320</v>
      </c>
      <c r="K460" s="38">
        <f ca="1">IF(I460&gt;0,J460*100/I460,0)</f>
        <v>97.416974169741692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"),4665)</f>
        <v>4665</v>
      </c>
      <c r="K462" s="38">
        <f t="shared" ref="K462:K466" ca="1" si="237">IF(I462&gt;0,J462*100/I462,0)</f>
        <v>97.594142259414227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"),2750)</f>
        <v>2750</v>
      </c>
      <c r="K463" s="38">
        <f t="shared" ca="1" si="237"/>
        <v>57.531380753138073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"),670)</f>
        <v>670</v>
      </c>
      <c r="K464" s="38">
        <f t="shared" ca="1" si="237"/>
        <v>49.446494464944649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1929</v>
      </c>
      <c r="K465" s="589">
        <f t="shared" ca="1" si="237"/>
        <v>100.46875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1300</v>
      </c>
      <c r="K466" s="569">
        <f t="shared" ca="1" si="237"/>
        <v>6.8421052631578947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59" t="s">
        <v>17</v>
      </c>
      <c r="E467" s="853"/>
      <c r="F467" s="853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3920472.36</v>
      </c>
      <c r="O467" s="195">
        <f t="shared" ref="O467:O472" ca="1" si="239">IF(L467&gt;0,N467*100/L467,0)</f>
        <v>23.386628099286941</v>
      </c>
      <c r="P467" s="195">
        <f t="shared" ref="P467:P472" ca="1" si="240">IF(M467&gt;0,N467*100/M467,0)</f>
        <v>23.386628099286941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3920472.36</v>
      </c>
      <c r="O469" s="45">
        <f t="shared" ca="1" si="239"/>
        <v>23.386628099286941</v>
      </c>
      <c r="P469" s="45">
        <f t="shared" ca="1" si="240"/>
        <v>23.386628099286941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3920472.36</v>
      </c>
      <c r="O470" s="38">
        <f t="shared" ca="1" si="239"/>
        <v>23.386628099286941</v>
      </c>
      <c r="P470" s="38">
        <f t="shared" ca="1" si="240"/>
        <v>23.386628099286941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3920472.36</v>
      </c>
      <c r="O472" s="45">
        <f t="shared" ca="1" si="239"/>
        <v>23.386628099286941</v>
      </c>
      <c r="P472" s="45">
        <f t="shared" ca="1" si="240"/>
        <v>23.386628099286941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"),1931385.3)</f>
        <v>1931385.3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"),821050)</f>
        <v>821050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"),686491.06)</f>
        <v>686491.06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"),481546)</f>
        <v>481546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"),17177)</f>
        <v>17177</v>
      </c>
      <c r="K483" s="38">
        <f ca="1">IF(I483&gt;0,J483*100/I483,0)</f>
        <v>100.45029239766082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"),1827)</f>
        <v>1827</v>
      </c>
      <c r="K487" s="38">
        <f ca="1">IF(I487&gt;0,J487*100/I487,0)</f>
        <v>96.15789473684211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"),207)</f>
        <v>207</v>
      </c>
      <c r="K489" s="38">
        <f ca="1">IF(I489&gt;0,J489*100/I489,0)</f>
        <v>108.94736842105263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"),1170)</f>
        <v>1170</v>
      </c>
      <c r="K495" s="38">
        <f ca="1">IF(I495&gt;0,J495*100/I495,0)</f>
        <v>6.8421052631578947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"),1170)</f>
        <v>1170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"),130)</f>
        <v>130</v>
      </c>
      <c r="K498" s="38">
        <f ca="1">IF(I498&gt;0,J498*100/I498,0)</f>
        <v>6.8421052631578947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"),130)</f>
        <v>130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0" t="s">
        <v>17</v>
      </c>
      <c r="E502" s="853"/>
      <c r="F502" s="853"/>
      <c r="G502" s="601"/>
      <c r="H502" s="643" t="s">
        <v>12</v>
      </c>
      <c r="I502" s="44"/>
      <c r="J502" s="44"/>
      <c r="K502" s="45"/>
      <c r="L502" s="644">
        <f t="shared" ref="L502:N502" si="249">L503+L504</f>
        <v>0</v>
      </c>
      <c r="M502" s="644">
        <f t="shared" si="249"/>
        <v>0</v>
      </c>
      <c r="N502" s="644">
        <f t="shared" si="249"/>
        <v>0</v>
      </c>
      <c r="O502" s="644">
        <f t="shared" ref="O502:O507" si="250">IF(L502&gt;0,N502*100/L502,0)</f>
        <v>0</v>
      </c>
      <c r="P502" s="644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5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6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6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6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6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5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7" t="s">
        <v>38</v>
      </c>
      <c r="E515" s="648"/>
      <c r="F515" s="648"/>
      <c r="G515" s="649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0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1" t="s">
        <v>35</v>
      </c>
      <c r="I517" s="652"/>
      <c r="J517" s="652">
        <f>J518+J519</f>
        <v>0</v>
      </c>
      <c r="K517" s="653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0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4" t="s">
        <v>137</v>
      </c>
      <c r="B520" s="655"/>
      <c r="C520" s="655"/>
      <c r="D520" s="656"/>
      <c r="E520" s="656"/>
      <c r="F520" s="656"/>
      <c r="G520" s="657"/>
      <c r="H520" s="658"/>
      <c r="I520" s="659"/>
      <c r="J520" s="659"/>
      <c r="K520" s="660"/>
      <c r="L520" s="660"/>
      <c r="M520" s="660"/>
      <c r="N520" s="660"/>
      <c r="O520" s="660"/>
      <c r="P520" s="660"/>
    </row>
    <row r="521" spans="1:26" ht="19.5">
      <c r="A521" s="661">
        <v>5</v>
      </c>
      <c r="B521" s="662" t="s">
        <v>226</v>
      </c>
      <c r="C521" s="663"/>
      <c r="D521" s="664"/>
      <c r="E521" s="664"/>
      <c r="F521" s="664"/>
      <c r="G521" s="664"/>
      <c r="H521" s="665"/>
      <c r="I521" s="666"/>
      <c r="J521" s="666"/>
      <c r="K521" s="667"/>
      <c r="L521" s="667"/>
      <c r="M521" s="667"/>
      <c r="N521" s="667"/>
      <c r="O521" s="667"/>
      <c r="P521" s="667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8"/>
      <c r="B522" s="669" t="s">
        <v>227</v>
      </c>
      <c r="C522" s="670"/>
      <c r="D522" s="670"/>
      <c r="E522" s="670"/>
      <c r="F522" s="670"/>
      <c r="G522" s="671"/>
      <c r="H522" s="672" t="s">
        <v>35</v>
      </c>
      <c r="I522" s="673">
        <f t="shared" ref="I522:J522" ca="1" si="259">I537</f>
        <v>80</v>
      </c>
      <c r="J522" s="673">
        <f t="shared" ca="1" si="259"/>
        <v>80</v>
      </c>
      <c r="K522" s="674">
        <f ca="1">IF(I522&gt;0,J522*100/I522,0)</f>
        <v>100</v>
      </c>
      <c r="L522" s="675"/>
      <c r="M522" s="675"/>
      <c r="N522" s="675"/>
      <c r="O522" s="675"/>
      <c r="P522" s="675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59" t="s">
        <v>17</v>
      </c>
      <c r="E523" s="853"/>
      <c r="F523" s="853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454010.82</v>
      </c>
      <c r="O523" s="195">
        <f t="shared" ref="O523:O528" ca="1" si="261">IF(L523&gt;0,N523*100/L523,0)</f>
        <v>64.424284822340795</v>
      </c>
      <c r="P523" s="195">
        <f t="shared" ref="P523:P528" ca="1" si="262">IF(M523&gt;0,N523*100/M523,0)</f>
        <v>64.424284822340795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454010.82</v>
      </c>
      <c r="O525" s="45">
        <f t="shared" ca="1" si="261"/>
        <v>64.424284822340795</v>
      </c>
      <c r="P525" s="45">
        <f t="shared" ca="1" si="262"/>
        <v>64.424284822340795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454010.82</v>
      </c>
      <c r="O526" s="38">
        <f t="shared" ca="1" si="261"/>
        <v>64.424284822340795</v>
      </c>
      <c r="P526" s="38">
        <f t="shared" ca="1" si="262"/>
        <v>64.424284822340795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454010.82</v>
      </c>
      <c r="O528" s="45">
        <f t="shared" ca="1" si="261"/>
        <v>64.424284822340795</v>
      </c>
      <c r="P528" s="45">
        <f t="shared" ca="1" si="262"/>
        <v>64.424284822340795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"),23614)</f>
        <v>23614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6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7" t="s">
        <v>228</v>
      </c>
      <c r="E537" s="574"/>
      <c r="F537" s="574"/>
      <c r="G537" s="189"/>
      <c r="H537" s="36" t="s">
        <v>35</v>
      </c>
      <c r="I537" s="678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spans="1:26" ht="18.75">
      <c r="A538" s="572"/>
      <c r="B538" s="573"/>
      <c r="C538" s="574"/>
      <c r="D538" s="575"/>
      <c r="E538" s="680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spans="1:26" ht="18.75">
      <c r="A539" s="572"/>
      <c r="B539" s="573"/>
      <c r="C539" s="574"/>
      <c r="D539" s="575"/>
      <c r="E539" s="680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spans="1:26" ht="18.75">
      <c r="A540" s="572"/>
      <c r="B540" s="573"/>
      <c r="C540" s="574"/>
      <c r="D540" s="575"/>
      <c r="E540" s="680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spans="1:26" ht="18.75">
      <c r="A541" s="572"/>
      <c r="B541" s="573"/>
      <c r="C541" s="574"/>
      <c r="D541" s="575"/>
      <c r="E541" s="681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"),50)</f>
        <v>50</v>
      </c>
      <c r="K542" s="38">
        <f t="shared" ca="1" si="269"/>
        <v>62.5</v>
      </c>
      <c r="L542" s="38"/>
      <c r="M542" s="38"/>
      <c r="N542" s="38"/>
      <c r="O542" s="38"/>
      <c r="P542" s="38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spans="1:26" ht="19.5">
      <c r="A543" s="661">
        <v>6</v>
      </c>
      <c r="B543" s="682" t="s">
        <v>233</v>
      </c>
      <c r="C543" s="664"/>
      <c r="D543" s="664"/>
      <c r="E543" s="664"/>
      <c r="F543" s="664"/>
      <c r="G543" s="665"/>
      <c r="H543" s="683" t="s">
        <v>46</v>
      </c>
      <c r="I543" s="684">
        <f t="shared" ref="I543:J543" ca="1" si="270">I559</f>
        <v>1172953</v>
      </c>
      <c r="J543" s="684">
        <f t="shared" ca="1" si="270"/>
        <v>447663.09399999998</v>
      </c>
      <c r="K543" s="685">
        <f t="shared" ca="1" si="269"/>
        <v>38.165475854531252</v>
      </c>
      <c r="L543" s="667"/>
      <c r="M543" s="667"/>
      <c r="N543" s="667"/>
      <c r="O543" s="667"/>
      <c r="P543" s="667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6"/>
      <c r="B544" s="687"/>
      <c r="C544" s="687" t="s">
        <v>16</v>
      </c>
      <c r="D544" s="861" t="s">
        <v>17</v>
      </c>
      <c r="E544" s="858"/>
      <c r="F544" s="858"/>
      <c r="G544" s="688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4659472.1400000006</v>
      </c>
      <c r="O544" s="155">
        <f t="shared" ref="O544:O549" ca="1" si="272">IF(L544&gt;0,N544*100/L544,0)</f>
        <v>47.310755491131637</v>
      </c>
      <c r="P544" s="155">
        <f t="shared" ref="P544:P549" ca="1" si="273">IF(M544&gt;0,N544*100/M544,0)</f>
        <v>47.310755491131637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4659472.1400000006</v>
      </c>
      <c r="O546" s="45">
        <f t="shared" ca="1" si="272"/>
        <v>47.310755491131637</v>
      </c>
      <c r="P546" s="45">
        <f t="shared" ca="1" si="273"/>
        <v>47.310755491131637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4659472.1400000006</v>
      </c>
      <c r="O547" s="38">
        <f t="shared" ca="1" si="272"/>
        <v>47.310755491131637</v>
      </c>
      <c r="P547" s="38">
        <f t="shared" ca="1" si="273"/>
        <v>47.310755491131637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4659472.1400000006</v>
      </c>
      <c r="O549" s="45">
        <f t="shared" ca="1" si="272"/>
        <v>47.310755491131637</v>
      </c>
      <c r="P549" s="45">
        <f t="shared" ca="1" si="273"/>
        <v>47.310755491131637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"),44990)</f>
        <v>44990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"),1261156.52)</f>
        <v>1261156.52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"),3336608.62)</f>
        <v>3336608.62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"),16717)</f>
        <v>16717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6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89"/>
      <c r="B559" s="690" t="s">
        <v>235</v>
      </c>
      <c r="C559" s="691"/>
      <c r="D559" s="691"/>
      <c r="E559" s="670"/>
      <c r="F559" s="670"/>
      <c r="G559" s="671"/>
      <c r="H559" s="692" t="s">
        <v>46</v>
      </c>
      <c r="I559" s="673">
        <f t="shared" ref="I559:J559" ca="1" si="281">I576</f>
        <v>1172953</v>
      </c>
      <c r="J559" s="673">
        <f t="shared" ca="1" si="281"/>
        <v>447663.09399999998</v>
      </c>
      <c r="K559" s="674">
        <f t="shared" ref="K559:K561" ca="1" si="282">IF(I559&gt;0,J559*100/I559,0)</f>
        <v>38.165475854531252</v>
      </c>
      <c r="L559" s="675"/>
      <c r="M559" s="675"/>
      <c r="N559" s="675"/>
      <c r="O559" s="675"/>
      <c r="P559" s="675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1173011.379999999</v>
      </c>
      <c r="K560" s="411">
        <f t="shared" ca="1" si="282"/>
        <v>100.00497718152381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126173</v>
      </c>
      <c r="K561" s="411">
        <f t="shared" ca="1" si="282"/>
        <v>100.0047556017025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"),927729.889999999)</f>
        <v>927729.88999999897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"),104810)</f>
        <v>104810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"),206150.175)</f>
        <v>206150.17499999999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"),17382)</f>
        <v>17382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"),39131.315)</f>
        <v>39131.315000000002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"),3981)</f>
        <v>3981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1021558.3794999991</v>
      </c>
      <c r="K568" s="411">
        <f t="shared" ref="K568:K569" ca="1" si="285">IF(I568&gt;0,J568*100/I568,0)</f>
        <v>87.092865570913673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111488</v>
      </c>
      <c r="K569" s="411">
        <f t="shared" ca="1" si="285"/>
        <v>88.365420434820521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"),838368.743499999)</f>
        <v>838368.74349999905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"),95543)</f>
        <v>95543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"),145380.108)</f>
        <v>145380.10800000001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"),11977)</f>
        <v>11977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"),37809.528)</f>
        <v>37809.527999999998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"),3968)</f>
        <v>3968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447663.09399999998</v>
      </c>
      <c r="K576" s="411">
        <f t="shared" ref="K576:K577" ca="1" si="287">IF(I576&gt;0,J576*100/I576,0)</f>
        <v>38.165475854531252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44895</v>
      </c>
      <c r="K577" s="411">
        <f t="shared" ca="1" si="287"/>
        <v>35.583789738996728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"),370291.961)</f>
        <v>370291.96100000001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"),38794)</f>
        <v>38794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"),62146.555)</f>
        <v>62146.555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"),4764)</f>
        <v>4764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15126.578000000001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1309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"),15073.2705)</f>
        <v>15073.270500000001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"),1304)</f>
        <v>1304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"),53.3075)</f>
        <v>53.307499999999997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"),5)</f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"),98)</f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"),28)</f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3"/>
      <c r="B591" s="694"/>
      <c r="C591" s="694"/>
      <c r="D591" s="694"/>
      <c r="E591" s="576"/>
      <c r="F591" s="576"/>
      <c r="G591" s="695"/>
      <c r="H591" s="696" t="s">
        <v>34</v>
      </c>
      <c r="I591" s="697"/>
      <c r="J591" s="698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699"/>
      <c r="L591" s="699"/>
      <c r="M591" s="699"/>
      <c r="N591" s="699"/>
      <c r="O591" s="699"/>
      <c r="P591" s="699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89"/>
      <c r="B592" s="690" t="s">
        <v>252</v>
      </c>
      <c r="C592" s="691"/>
      <c r="D592" s="691"/>
      <c r="E592" s="670"/>
      <c r="F592" s="670"/>
      <c r="G592" s="671"/>
      <c r="H592" s="692" t="s">
        <v>46</v>
      </c>
      <c r="I592" s="700">
        <f t="shared" ref="I592:J592" ca="1" si="289">I593</f>
        <v>78677.899999999994</v>
      </c>
      <c r="J592" s="673">
        <f t="shared" ca="1" si="289"/>
        <v>8712.43</v>
      </c>
      <c r="K592" s="674">
        <f t="shared" ref="K592:K594" ca="1" si="290">IF(I592&gt;0,J592*100/I592,0)</f>
        <v>11.073541617150433</v>
      </c>
      <c r="L592" s="675"/>
      <c r="M592" s="675"/>
      <c r="N592" s="675"/>
      <c r="O592" s="675"/>
      <c r="P592" s="675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1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8712.43</v>
      </c>
      <c r="K593" s="411">
        <f t="shared" ca="1" si="290"/>
        <v>11.073541617150433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1073</v>
      </c>
      <c r="K594" s="411">
        <f t="shared" ca="1" si="290"/>
        <v>15.541714947856315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8101.86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1023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"),5374.86)</f>
        <v>5374.86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"),784)</f>
        <v>784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"),2727)</f>
        <v>2727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"),239)</f>
        <v>239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2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524.31999999999994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40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2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"),191.32)</f>
        <v>191.32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"),21)</f>
        <v>21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2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"),333)</f>
        <v>333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"),19)</f>
        <v>19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"),86.25)</f>
        <v>86.25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"),10)</f>
        <v>10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89"/>
      <c r="B611" s="703" t="s">
        <v>262</v>
      </c>
      <c r="C611" s="691"/>
      <c r="D611" s="691"/>
      <c r="E611" s="670"/>
      <c r="F611" s="670"/>
      <c r="G611" s="671"/>
      <c r="H611" s="704" t="s">
        <v>46</v>
      </c>
      <c r="I611" s="705">
        <v>0</v>
      </c>
      <c r="J611" s="673">
        <f>J614+J616</f>
        <v>0</v>
      </c>
      <c r="K611" s="674">
        <f t="shared" ref="K611:K613" si="294">IF(I611&gt;0,J611*100/I611,0)</f>
        <v>0</v>
      </c>
      <c r="L611" s="675"/>
      <c r="M611" s="675"/>
      <c r="N611" s="675"/>
      <c r="O611" s="675"/>
      <c r="P611" s="675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6"/>
      <c r="B612" s="707"/>
      <c r="C612" s="708" t="s">
        <v>263</v>
      </c>
      <c r="D612" s="707"/>
      <c r="E612" s="707"/>
      <c r="F612" s="709"/>
      <c r="G612" s="710"/>
      <c r="H612" s="711" t="s">
        <v>46</v>
      </c>
      <c r="I612" s="712">
        <v>0</v>
      </c>
      <c r="J612" s="713">
        <f t="shared" ref="J612:J613" si="295">J614+J616</f>
        <v>0</v>
      </c>
      <c r="K612" s="714">
        <f t="shared" si="294"/>
        <v>0</v>
      </c>
      <c r="L612" s="715"/>
      <c r="M612" s="715"/>
      <c r="N612" s="715"/>
      <c r="O612" s="715"/>
      <c r="P612" s="715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6"/>
      <c r="B613" s="707"/>
      <c r="C613" s="716" t="s">
        <v>264</v>
      </c>
      <c r="D613" s="707"/>
      <c r="E613" s="707"/>
      <c r="F613" s="709"/>
      <c r="G613" s="710"/>
      <c r="H613" s="711" t="s">
        <v>34</v>
      </c>
      <c r="I613" s="712">
        <v>0</v>
      </c>
      <c r="J613" s="713">
        <f t="shared" si="295"/>
        <v>0</v>
      </c>
      <c r="K613" s="714">
        <f t="shared" si="294"/>
        <v>0</v>
      </c>
      <c r="L613" s="715"/>
      <c r="M613" s="715"/>
      <c r="N613" s="715"/>
      <c r="O613" s="715"/>
      <c r="P613" s="715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7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8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8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19"/>
      <c r="B620" s="720"/>
      <c r="C620" s="721" t="s">
        <v>267</v>
      </c>
      <c r="D620" s="720"/>
      <c r="E620" s="720"/>
      <c r="F620" s="722"/>
      <c r="G620" s="723"/>
      <c r="H620" s="724" t="s">
        <v>46</v>
      </c>
      <c r="I620" s="725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"),1588)</f>
        <v>1588</v>
      </c>
      <c r="J620" s="725">
        <f t="shared" ref="J620:J621" ca="1" si="296">J622+J624+J626</f>
        <v>634.62</v>
      </c>
      <c r="K620" s="726">
        <f t="shared" ref="K620:K621" ca="1" si="297">IF(I620&gt;0,J620*100/I620,0)</f>
        <v>39.963476070528969</v>
      </c>
      <c r="L620" s="727"/>
      <c r="M620" s="727"/>
      <c r="N620" s="727"/>
      <c r="O620" s="727"/>
      <c r="P620" s="727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19"/>
      <c r="B621" s="720"/>
      <c r="C621" s="728" t="s">
        <v>268</v>
      </c>
      <c r="D621" s="720"/>
      <c r="E621" s="720"/>
      <c r="F621" s="722"/>
      <c r="G621" s="723"/>
      <c r="H621" s="724" t="s">
        <v>34</v>
      </c>
      <c r="I621" s="725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"),126)</f>
        <v>126</v>
      </c>
      <c r="J621" s="725">
        <f t="shared" ca="1" si="296"/>
        <v>59</v>
      </c>
      <c r="K621" s="726">
        <f t="shared" ca="1" si="297"/>
        <v>46.825396825396822</v>
      </c>
      <c r="L621" s="727"/>
      <c r="M621" s="727"/>
      <c r="N621" s="727"/>
      <c r="O621" s="727"/>
      <c r="P621" s="727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"),365)</f>
        <v>365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"),27)</f>
        <v>27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"),267.62)</f>
        <v>267.62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"),31)</f>
        <v>31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"),2)</f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29"/>
      <c r="B627" s="730"/>
      <c r="C627" s="730"/>
      <c r="D627" s="730"/>
      <c r="E627" s="731"/>
      <c r="F627" s="731"/>
      <c r="G627" s="732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"),1)</f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3">
        <v>7</v>
      </c>
      <c r="B628" s="734" t="s">
        <v>271</v>
      </c>
      <c r="C628" s="735"/>
      <c r="D628" s="735"/>
      <c r="E628" s="735"/>
      <c r="F628" s="735"/>
      <c r="G628" s="736"/>
      <c r="H628" s="737" t="s">
        <v>35</v>
      </c>
      <c r="I628" s="738">
        <f t="shared" ref="I628:J628" ca="1" si="298">I651</f>
        <v>8730</v>
      </c>
      <c r="J628" s="738">
        <f t="shared" ca="1" si="298"/>
        <v>2827</v>
      </c>
      <c r="K628" s="739">
        <f ca="1">IF(I628&gt;0,J628*100/I628,0)</f>
        <v>32.38258877434135</v>
      </c>
      <c r="L628" s="740"/>
      <c r="M628" s="740"/>
      <c r="N628" s="740"/>
      <c r="O628" s="740"/>
      <c r="P628" s="740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59" t="s">
        <v>17</v>
      </c>
      <c r="E629" s="853"/>
      <c r="F629" s="853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5421361.4399999902</v>
      </c>
      <c r="O629" s="195">
        <f t="shared" ref="O629:O634" ca="1" si="300">IF(L629&gt;0,N629*100/L629,0)</f>
        <v>45.918660867009422</v>
      </c>
      <c r="P629" s="195">
        <f t="shared" ref="P629:P634" ca="1" si="301">IF(M629&gt;0,N629*100/M629,0)</f>
        <v>45.918660867009422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5421361.4399999902</v>
      </c>
      <c r="O631" s="45">
        <f t="shared" ca="1" si="300"/>
        <v>45.918660867009422</v>
      </c>
      <c r="P631" s="45">
        <f t="shared" ca="1" si="301"/>
        <v>45.918660867009422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5421361.4399999902</v>
      </c>
      <c r="O632" s="38">
        <f t="shared" ca="1" si="300"/>
        <v>45.918660867009422</v>
      </c>
      <c r="P632" s="38">
        <f t="shared" ca="1" si="301"/>
        <v>45.918660867009422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5421361.4399999902</v>
      </c>
      <c r="O634" s="45">
        <f t="shared" ca="1" si="300"/>
        <v>45.918660867009422</v>
      </c>
      <c r="P634" s="45">
        <f t="shared" ca="1" si="301"/>
        <v>45.918660867009422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"),51855)</f>
        <v>51855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"),1420169.96)</f>
        <v>1420169.96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"),3949336.47999999)</f>
        <v>3949336.4799999902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6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1"/>
      <c r="B643" s="573"/>
      <c r="C643" s="574"/>
      <c r="D643" s="617"/>
      <c r="E643" s="742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1"/>
      <c r="B644" s="573"/>
      <c r="C644" s="574"/>
      <c r="D644" s="617"/>
      <c r="E644" s="742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1"/>
      <c r="B645" s="573"/>
      <c r="C645" s="574"/>
      <c r="D645" s="617"/>
      <c r="E645" s="743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"),4875)</f>
        <v>4875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1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"),2915.29)</f>
        <v>2915.29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1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"),5884)</f>
        <v>5884</v>
      </c>
      <c r="K647" s="163">
        <f t="shared" ca="1" si="308"/>
        <v>67.399770904925546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1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"),3377.74999999999)</f>
        <v>3377.74999999999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1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"),5092)</f>
        <v>5092</v>
      </c>
      <c r="K649" s="163">
        <f t="shared" ca="1" si="308"/>
        <v>58.327605956471935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1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"),2894.53)</f>
        <v>2894.53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1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"),2827)</f>
        <v>2827</v>
      </c>
      <c r="K651" s="163">
        <f t="shared" ca="1" si="308"/>
        <v>32.38258877434135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4"/>
      <c r="B652" s="745"/>
      <c r="C652" s="746"/>
      <c r="D652" s="731"/>
      <c r="E652" s="731"/>
      <c r="F652" s="731"/>
      <c r="G652" s="732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"),1604.94)</f>
        <v>1604.94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7">
        <v>8</v>
      </c>
      <c r="B653" s="734" t="s">
        <v>279</v>
      </c>
      <c r="C653" s="735"/>
      <c r="D653" s="735"/>
      <c r="E653" s="735"/>
      <c r="F653" s="735"/>
      <c r="G653" s="736"/>
      <c r="H653" s="736"/>
      <c r="I653" s="748"/>
      <c r="J653" s="748"/>
      <c r="K653" s="740"/>
      <c r="L653" s="740"/>
      <c r="M653" s="740"/>
      <c r="N653" s="740"/>
      <c r="O653" s="740"/>
      <c r="P653" s="740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0"/>
      <c r="B654" s="669" t="s">
        <v>280</v>
      </c>
      <c r="C654" s="670"/>
      <c r="D654" s="670"/>
      <c r="E654" s="670"/>
      <c r="F654" s="670"/>
      <c r="G654" s="671"/>
      <c r="H654" s="704" t="s">
        <v>46</v>
      </c>
      <c r="I654" s="673">
        <f t="shared" ref="I654:J654" ca="1" si="309">I669</f>
        <v>1370</v>
      </c>
      <c r="J654" s="673">
        <f t="shared" ca="1" si="309"/>
        <v>0</v>
      </c>
      <c r="K654" s="674">
        <f ca="1">IF(I654&gt;0,J654*100/I654,0)</f>
        <v>0</v>
      </c>
      <c r="L654" s="675"/>
      <c r="M654" s="675"/>
      <c r="N654" s="675"/>
      <c r="O654" s="675"/>
      <c r="P654" s="675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59" t="s">
        <v>17</v>
      </c>
      <c r="E655" s="853"/>
      <c r="F655" s="853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129209</v>
      </c>
      <c r="O655" s="195">
        <f t="shared" ref="O655:O660" ca="1" si="311">IF(L655&gt;0,N655*100/L655,0)</f>
        <v>66.533985581874362</v>
      </c>
      <c r="P655" s="195">
        <f t="shared" ref="P655:P660" ca="1" si="312">IF(M655&gt;0,N655*100/M655,0)</f>
        <v>66.533985581874362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129209</v>
      </c>
      <c r="O657" s="45">
        <f t="shared" ca="1" si="311"/>
        <v>66.533985581874362</v>
      </c>
      <c r="P657" s="45">
        <f t="shared" ca="1" si="312"/>
        <v>66.533985581874362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129209</v>
      </c>
      <c r="O658" s="38">
        <f t="shared" ca="1" si="311"/>
        <v>66.533985581874362</v>
      </c>
      <c r="P658" s="38">
        <f t="shared" ca="1" si="312"/>
        <v>66.533985581874362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129209</v>
      </c>
      <c r="O660" s="45">
        <f t="shared" ca="1" si="311"/>
        <v>66.533985581874362</v>
      </c>
      <c r="P660" s="45">
        <f t="shared" ca="1" si="312"/>
        <v>66.533985581874362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"),127209)</f>
        <v>127209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49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"),4465.38)</f>
        <v>4465.38</v>
      </c>
      <c r="K672" s="38">
        <f t="shared" ref="K672:K675" ca="1" si="319">IF(I$669&gt;0,J672*100/I$669,0)</f>
        <v>325.94014598540144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"),2580.23)</f>
        <v>2580.23</v>
      </c>
      <c r="K673" s="38">
        <f t="shared" ca="1" si="319"/>
        <v>188.33795620437957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"),753)</f>
        <v>753</v>
      </c>
      <c r="K674" s="38">
        <f t="shared" ca="1" si="319"/>
        <v>54.963503649635037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"),0)</f>
        <v>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"),0)</f>
        <v>0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0"/>
      <c r="B684" s="751" t="s">
        <v>294</v>
      </c>
      <c r="C684" s="750"/>
      <c r="D684" s="750"/>
      <c r="E684" s="750"/>
      <c r="F684" s="750"/>
      <c r="G684" s="752"/>
      <c r="H684" s="752"/>
      <c r="I684" s="753"/>
      <c r="J684" s="753"/>
      <c r="K684" s="754"/>
      <c r="L684" s="754"/>
      <c r="M684" s="754"/>
      <c r="N684" s="754"/>
      <c r="O684" s="754"/>
      <c r="P684" s="754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59" t="s">
        <v>17</v>
      </c>
      <c r="E685" s="853"/>
      <c r="F685" s="853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105904</v>
      </c>
      <c r="O685" s="195">
        <f t="shared" ref="O685:O688" ca="1" si="321">IF(L685&gt;0,N685*100/L685,0)</f>
        <v>30.604554386776094</v>
      </c>
      <c r="P685" s="195">
        <f t="shared" ref="P685:P688" ca="1" si="322">IF(M685&gt;0,N685*100/M685,0)</f>
        <v>30.604554386776094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105904</v>
      </c>
      <c r="O687" s="45">
        <f t="shared" ca="1" si="321"/>
        <v>30.604554386776094</v>
      </c>
      <c r="P687" s="45">
        <f t="shared" ca="1" si="322"/>
        <v>30.604554386776094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105904</v>
      </c>
      <c r="O688" s="38">
        <f t="shared" ca="1" si="321"/>
        <v>30.604554386776094</v>
      </c>
      <c r="P688" s="38">
        <f t="shared" ca="1" si="322"/>
        <v>30.604554386776094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105904</v>
      </c>
      <c r="O690" s="45">
        <f ca="1">IF(L690&gt;0,N690*100/L690,0)</f>
        <v>30.604554386776094</v>
      </c>
      <c r="P690" s="45">
        <f ca="1">IF(M690&gt;0,N690*100/M690,0)</f>
        <v>30.604554386776094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"),360)</f>
        <v>360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"),105544)</f>
        <v>105544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5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6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6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7" t="s">
        <v>38</v>
      </c>
      <c r="E698" s="758"/>
      <c r="F698" s="610"/>
      <c r="G698" s="611"/>
      <c r="H698" s="759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1"/>
      <c r="B699" s="574"/>
      <c r="C699" s="574"/>
      <c r="D699" s="575" t="s">
        <v>295</v>
      </c>
      <c r="E699" s="760"/>
      <c r="F699" s="574"/>
      <c r="G699" s="189"/>
      <c r="H699" s="761" t="s">
        <v>46</v>
      </c>
      <c r="I699" s="762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"),362.21)</f>
        <v>362.21</v>
      </c>
      <c r="K699" s="38">
        <f t="shared" ref="K699:K701" ca="1" si="329">IF(I699&gt;0,J699*100/I699,0)</f>
        <v>43.171632896305127</v>
      </c>
      <c r="L699" s="38"/>
      <c r="M699" s="189"/>
      <c r="N699" s="763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1"/>
      <c r="B700" s="574"/>
      <c r="C700" s="574"/>
      <c r="D700" s="575" t="s">
        <v>296</v>
      </c>
      <c r="E700" s="574"/>
      <c r="F700" s="574"/>
      <c r="G700" s="189"/>
      <c r="H700" s="761" t="s">
        <v>35</v>
      </c>
      <c r="I700" s="762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"),97)</f>
        <v>97</v>
      </c>
      <c r="K700" s="38">
        <f t="shared" ca="1" si="329"/>
        <v>45.971563981042657</v>
      </c>
      <c r="L700" s="38"/>
      <c r="M700" s="189"/>
      <c r="N700" s="763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1"/>
      <c r="B701" s="574"/>
      <c r="C701" s="574"/>
      <c r="D701" s="575" t="s">
        <v>297</v>
      </c>
      <c r="E701" s="574"/>
      <c r="F701" s="574"/>
      <c r="G701" s="189"/>
      <c r="H701" s="764" t="s">
        <v>46</v>
      </c>
      <c r="I701" s="765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237.95</v>
      </c>
      <c r="K701" s="195">
        <f t="shared" ca="1" si="329"/>
        <v>13.110192837465565</v>
      </c>
      <c r="L701" s="38"/>
      <c r="M701" s="189"/>
      <c r="N701" s="763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1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2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3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1"/>
      <c r="B703" s="574"/>
      <c r="C703" s="574"/>
      <c r="D703" s="574"/>
      <c r="E703" s="574"/>
      <c r="F703" s="574"/>
      <c r="G703" s="189"/>
      <c r="H703" s="182" t="s">
        <v>34</v>
      </c>
      <c r="I703" s="762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3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1"/>
      <c r="B704" s="574"/>
      <c r="C704" s="574"/>
      <c r="D704" s="574"/>
      <c r="E704" s="574"/>
      <c r="F704" s="574"/>
      <c r="G704" s="189"/>
      <c r="H704" s="182" t="s">
        <v>46</v>
      </c>
      <c r="I704" s="762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3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1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2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"),10)</f>
        <v>10</v>
      </c>
      <c r="K705" s="38"/>
      <c r="L705" s="38"/>
      <c r="M705" s="189"/>
      <c r="N705" s="763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1"/>
      <c r="B706" s="574"/>
      <c r="C706" s="574"/>
      <c r="D706" s="574"/>
      <c r="E706" s="574"/>
      <c r="F706" s="574"/>
      <c r="G706" s="189"/>
      <c r="H706" s="182" t="s">
        <v>34</v>
      </c>
      <c r="I706" s="762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"),10)</f>
        <v>10</v>
      </c>
      <c r="K706" s="38"/>
      <c r="L706" s="38"/>
      <c r="M706" s="189"/>
      <c r="N706" s="763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1"/>
      <c r="B707" s="574"/>
      <c r="C707" s="574"/>
      <c r="D707" s="574"/>
      <c r="E707" s="574"/>
      <c r="F707" s="574"/>
      <c r="G707" s="189"/>
      <c r="H707" s="182" t="s">
        <v>46</v>
      </c>
      <c r="I707" s="762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"),100)</f>
        <v>100</v>
      </c>
      <c r="K707" s="38"/>
      <c r="L707" s="38"/>
      <c r="M707" s="189"/>
      <c r="N707" s="763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1"/>
      <c r="B708" s="574"/>
      <c r="C708" s="574"/>
      <c r="D708" s="766" t="s">
        <v>300</v>
      </c>
      <c r="E708" s="574"/>
      <c r="F708" s="574"/>
      <c r="G708" s="189"/>
      <c r="H708" s="192" t="s">
        <v>46</v>
      </c>
      <c r="I708" s="765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379</v>
      </c>
      <c r="K708" s="195">
        <f ca="1">IF(I708&gt;0,J708*100/I708,0)</f>
        <v>82.570806100217865</v>
      </c>
      <c r="L708" s="38"/>
      <c r="M708" s="189"/>
      <c r="N708" s="763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1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2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3"/>
      <c r="M709" s="189"/>
      <c r="N709" s="763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1"/>
      <c r="B710" s="574"/>
      <c r="C710" s="574"/>
      <c r="D710" s="574"/>
      <c r="E710" s="574"/>
      <c r="F710" s="574"/>
      <c r="G710" s="189"/>
      <c r="H710" s="182" t="s">
        <v>46</v>
      </c>
      <c r="I710" s="762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3"/>
      <c r="M710" s="189"/>
      <c r="N710" s="763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1"/>
      <c r="B711" s="574"/>
      <c r="C711" s="574"/>
      <c r="D711" s="574"/>
      <c r="E711" s="575" t="s">
        <v>302</v>
      </c>
      <c r="F711" s="574"/>
      <c r="G711" s="189"/>
      <c r="H711" s="175"/>
      <c r="I711" s="762"/>
      <c r="J711" s="37"/>
      <c r="K711" s="38"/>
      <c r="L711" s="763"/>
      <c r="M711" s="189"/>
      <c r="N711" s="763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1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2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"),26)</f>
        <v>26</v>
      </c>
      <c r="K712" s="38"/>
      <c r="L712" s="763"/>
      <c r="M712" s="189"/>
      <c r="N712" s="763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1"/>
      <c r="B713" s="574"/>
      <c r="C713" s="574"/>
      <c r="D713" s="574"/>
      <c r="E713" s="574"/>
      <c r="F713" s="574"/>
      <c r="G713" s="189"/>
      <c r="H713" s="182" t="s">
        <v>34</v>
      </c>
      <c r="I713" s="762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"),26)</f>
        <v>26</v>
      </c>
      <c r="K713" s="38"/>
      <c r="L713" s="763"/>
      <c r="M713" s="189"/>
      <c r="N713" s="763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1"/>
      <c r="B714" s="574"/>
      <c r="C714" s="574"/>
      <c r="D714" s="574"/>
      <c r="E714" s="574"/>
      <c r="F714" s="574"/>
      <c r="G714" s="189"/>
      <c r="H714" s="182" t="s">
        <v>46</v>
      </c>
      <c r="I714" s="762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"),379)</f>
        <v>379</v>
      </c>
      <c r="K714" s="38"/>
      <c r="L714" s="763"/>
      <c r="M714" s="189"/>
      <c r="N714" s="763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1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2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3"/>
      <c r="M715" s="189"/>
      <c r="N715" s="763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1"/>
      <c r="B716" s="574"/>
      <c r="C716" s="574"/>
      <c r="D716" s="574"/>
      <c r="E716" s="574"/>
      <c r="F716" s="574"/>
      <c r="G716" s="189"/>
      <c r="H716" s="182" t="s">
        <v>34</v>
      </c>
      <c r="I716" s="762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3"/>
      <c r="M716" s="189"/>
      <c r="N716" s="763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1"/>
      <c r="B717" s="574"/>
      <c r="C717" s="574"/>
      <c r="D717" s="574"/>
      <c r="E717" s="574"/>
      <c r="F717" s="574"/>
      <c r="G717" s="189"/>
      <c r="H717" s="182" t="s">
        <v>46</v>
      </c>
      <c r="I717" s="762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3"/>
      <c r="M717" s="189"/>
      <c r="N717" s="763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1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2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"),8)</f>
        <v>8</v>
      </c>
      <c r="K718" s="38"/>
      <c r="L718" s="38"/>
      <c r="M718" s="189"/>
      <c r="N718" s="763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1"/>
      <c r="B719" s="574"/>
      <c r="C719" s="574"/>
      <c r="D719" s="574"/>
      <c r="E719" s="574"/>
      <c r="F719" s="574"/>
      <c r="G719" s="189"/>
      <c r="H719" s="182" t="s">
        <v>34</v>
      </c>
      <c r="I719" s="762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"),8)</f>
        <v>8</v>
      </c>
      <c r="K719" s="38"/>
      <c r="L719" s="763"/>
      <c r="M719" s="189"/>
      <c r="N719" s="763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1"/>
      <c r="B720" s="574"/>
      <c r="C720" s="574"/>
      <c r="D720" s="574"/>
      <c r="E720" s="574"/>
      <c r="F720" s="574"/>
      <c r="G720" s="189"/>
      <c r="H720" s="182" t="s">
        <v>46</v>
      </c>
      <c r="I720" s="762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"),79.83)</f>
        <v>79.83</v>
      </c>
      <c r="K720" s="38">
        <f t="shared" ref="K720:K723" ca="1" si="330">IF(I720&gt;0,J720*100/I720,0)</f>
        <v>23.901197604790418</v>
      </c>
      <c r="L720" s="763"/>
      <c r="M720" s="189"/>
      <c r="N720" s="763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1"/>
      <c r="B721" s="574"/>
      <c r="C721" s="574"/>
      <c r="D721" s="575" t="s">
        <v>306</v>
      </c>
      <c r="E721" s="574"/>
      <c r="F721" s="574"/>
      <c r="G721" s="189"/>
      <c r="H721" s="749" t="s">
        <v>35</v>
      </c>
      <c r="I721" s="765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3"/>
      <c r="M721" s="189"/>
      <c r="N721" s="763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1"/>
      <c r="B722" s="574"/>
      <c r="C722" s="574"/>
      <c r="D722" s="574"/>
      <c r="E722" s="575"/>
      <c r="F722" s="574"/>
      <c r="G722" s="189"/>
      <c r="H722" s="749" t="s">
        <v>46</v>
      </c>
      <c r="I722" s="765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3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1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2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3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1"/>
      <c r="B724" s="574"/>
      <c r="C724" s="574"/>
      <c r="D724" s="574"/>
      <c r="E724" s="574"/>
      <c r="F724" s="574"/>
      <c r="G724" s="189"/>
      <c r="H724" s="182" t="s">
        <v>34</v>
      </c>
      <c r="I724" s="762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3"/>
      <c r="M724" s="189"/>
      <c r="N724" s="763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1"/>
      <c r="B725" s="574"/>
      <c r="C725" s="574"/>
      <c r="D725" s="574"/>
      <c r="E725" s="574"/>
      <c r="F725" s="574"/>
      <c r="G725" s="189"/>
      <c r="H725" s="182" t="s">
        <v>46</v>
      </c>
      <c r="I725" s="762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3"/>
      <c r="M725" s="189"/>
      <c r="N725" s="763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1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2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3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1"/>
      <c r="B727" s="574"/>
      <c r="C727" s="574"/>
      <c r="D727" s="574"/>
      <c r="E727" s="574"/>
      <c r="F727" s="574"/>
      <c r="G727" s="189"/>
      <c r="H727" s="182" t="s">
        <v>34</v>
      </c>
      <c r="I727" s="762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3"/>
      <c r="M727" s="189"/>
      <c r="N727" s="763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1"/>
      <c r="B728" s="574"/>
      <c r="C728" s="574"/>
      <c r="D728" s="574"/>
      <c r="E728" s="574"/>
      <c r="F728" s="574"/>
      <c r="G728" s="189"/>
      <c r="H728" s="182" t="s">
        <v>46</v>
      </c>
      <c r="I728" s="762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3"/>
      <c r="M728" s="189"/>
      <c r="N728" s="763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1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5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706.85</v>
      </c>
      <c r="K729" s="195">
        <f t="shared" ca="1" si="332"/>
        <v>46.442181340341655</v>
      </c>
      <c r="L729" s="38"/>
      <c r="M729" s="189"/>
      <c r="N729" s="763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1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2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"),1)</f>
        <v>1</v>
      </c>
      <c r="K730" s="38"/>
      <c r="L730" s="763"/>
      <c r="M730" s="38"/>
      <c r="N730" s="763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1"/>
      <c r="B731" s="574"/>
      <c r="C731" s="574"/>
      <c r="D731" s="574"/>
      <c r="E731" s="574"/>
      <c r="F731" s="574"/>
      <c r="G731" s="189"/>
      <c r="H731" s="182" t="s">
        <v>34</v>
      </c>
      <c r="I731" s="762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"),1)</f>
        <v>1</v>
      </c>
      <c r="K731" s="38"/>
      <c r="L731" s="763"/>
      <c r="M731" s="38"/>
      <c r="N731" s="763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1"/>
      <c r="B732" s="574"/>
      <c r="C732" s="574"/>
      <c r="D732" s="574"/>
      <c r="E732" s="574"/>
      <c r="F732" s="574"/>
      <c r="G732" s="189"/>
      <c r="H732" s="182" t="s">
        <v>46</v>
      </c>
      <c r="I732" s="762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"),11.85)</f>
        <v>11.85</v>
      </c>
      <c r="K732" s="38"/>
      <c r="L732" s="763"/>
      <c r="M732" s="38"/>
      <c r="N732" s="763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1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2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"),80)</f>
        <v>80</v>
      </c>
      <c r="K733" s="38"/>
      <c r="L733" s="763"/>
      <c r="M733" s="38"/>
      <c r="N733" s="763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1"/>
      <c r="B734" s="574"/>
      <c r="C734" s="574"/>
      <c r="D734" s="574"/>
      <c r="E734" s="574"/>
      <c r="F734" s="574"/>
      <c r="G734" s="189"/>
      <c r="H734" s="182" t="s">
        <v>34</v>
      </c>
      <c r="I734" s="762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"),94)</f>
        <v>94</v>
      </c>
      <c r="K734" s="38"/>
      <c r="L734" s="763"/>
      <c r="M734" s="38"/>
      <c r="N734" s="763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7"/>
      <c r="B735" s="768" t="s">
        <v>312</v>
      </c>
      <c r="C735" s="731"/>
      <c r="D735" s="731"/>
      <c r="E735" s="731"/>
      <c r="F735" s="731"/>
      <c r="G735" s="732"/>
      <c r="H735" s="422" t="s">
        <v>46</v>
      </c>
      <c r="I735" s="769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"),695)</f>
        <v>695</v>
      </c>
      <c r="K735" s="505"/>
      <c r="L735" s="770"/>
      <c r="M735" s="505"/>
      <c r="N735" s="770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1">
        <v>9</v>
      </c>
      <c r="B736" s="772" t="s">
        <v>313</v>
      </c>
      <c r="C736" s="773"/>
      <c r="D736" s="773"/>
      <c r="E736" s="773"/>
      <c r="F736" s="773"/>
      <c r="G736" s="774"/>
      <c r="H736" s="775" t="s">
        <v>46</v>
      </c>
      <c r="I736" s="776"/>
      <c r="J736" s="776">
        <f>J751</f>
        <v>0</v>
      </c>
      <c r="K736" s="777">
        <f>IF(I736&gt;0,J736*100/I736,0)</f>
        <v>0</v>
      </c>
      <c r="L736" s="778"/>
      <c r="M736" s="778"/>
      <c r="N736" s="778"/>
      <c r="O736" s="778"/>
      <c r="P736" s="778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0" t="s">
        <v>17</v>
      </c>
      <c r="E737" s="853"/>
      <c r="F737" s="853"/>
      <c r="G737" s="601"/>
      <c r="H737" s="643" t="s">
        <v>12</v>
      </c>
      <c r="I737" s="44"/>
      <c r="J737" s="44"/>
      <c r="K737" s="45"/>
      <c r="L737" s="644">
        <f t="shared" ref="L737:N737" si="333">L738+L739</f>
        <v>0</v>
      </c>
      <c r="M737" s="644">
        <f t="shared" si="333"/>
        <v>0</v>
      </c>
      <c r="N737" s="644">
        <f t="shared" si="333"/>
        <v>0</v>
      </c>
      <c r="O737" s="644">
        <f t="shared" ref="O737:O742" si="334">IF(L737&gt;0,N737*100/L737,0)</f>
        <v>0</v>
      </c>
      <c r="P737" s="644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79" t="s">
        <v>20</v>
      </c>
      <c r="E740" s="598"/>
      <c r="F740" s="598"/>
      <c r="G740" s="601"/>
      <c r="H740" s="643" t="s">
        <v>12</v>
      </c>
      <c r="I740" s="166"/>
      <c r="J740" s="166"/>
      <c r="K740" s="167"/>
      <c r="L740" s="644">
        <f t="shared" ref="L740:N740" si="338">L741+L742</f>
        <v>0</v>
      </c>
      <c r="M740" s="644">
        <f t="shared" si="338"/>
        <v>0</v>
      </c>
      <c r="N740" s="644">
        <f t="shared" si="338"/>
        <v>0</v>
      </c>
      <c r="O740" s="644">
        <f t="shared" si="334"/>
        <v>0</v>
      </c>
      <c r="P740" s="644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6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6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6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6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79" t="s">
        <v>21</v>
      </c>
      <c r="E747" s="598"/>
      <c r="F747" s="598"/>
      <c r="G747" s="601"/>
      <c r="H747" s="780" t="s">
        <v>12</v>
      </c>
      <c r="I747" s="166"/>
      <c r="J747" s="166"/>
      <c r="K747" s="167"/>
      <c r="L747" s="644">
        <f t="shared" ref="L747:N747" si="339">L748+L749</f>
        <v>0</v>
      </c>
      <c r="M747" s="644">
        <f t="shared" si="339"/>
        <v>0</v>
      </c>
      <c r="N747" s="644">
        <f t="shared" si="339"/>
        <v>0</v>
      </c>
      <c r="O747" s="644">
        <f t="shared" ref="O747:O749" si="340">IF(L747&gt;0,N747*100/L747,0)</f>
        <v>0</v>
      </c>
      <c r="P747" s="644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1" t="s">
        <v>38</v>
      </c>
      <c r="E750" s="648"/>
      <c r="F750" s="648"/>
      <c r="G750" s="649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6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6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2">
        <v>10</v>
      </c>
      <c r="B753" s="783" t="s">
        <v>316</v>
      </c>
      <c r="C753" s="784"/>
      <c r="D753" s="784"/>
      <c r="E753" s="784"/>
      <c r="F753" s="784"/>
      <c r="G753" s="785"/>
      <c r="H753" s="786" t="s">
        <v>46</v>
      </c>
      <c r="I753" s="787"/>
      <c r="J753" s="787">
        <f>J768</f>
        <v>0</v>
      </c>
      <c r="K753" s="788">
        <f>IF(I753&gt;0,J753*100/I753,0)</f>
        <v>0</v>
      </c>
      <c r="L753" s="789"/>
      <c r="M753" s="789"/>
      <c r="N753" s="789"/>
      <c r="O753" s="789"/>
      <c r="P753" s="789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0" t="s">
        <v>17</v>
      </c>
      <c r="E754" s="853"/>
      <c r="F754" s="853"/>
      <c r="G754" s="601"/>
      <c r="H754" s="643" t="s">
        <v>12</v>
      </c>
      <c r="I754" s="44"/>
      <c r="J754" s="44"/>
      <c r="K754" s="45"/>
      <c r="L754" s="644">
        <f t="shared" ref="L754:N754" si="342">L755+L756</f>
        <v>0</v>
      </c>
      <c r="M754" s="644">
        <f t="shared" si="342"/>
        <v>0</v>
      </c>
      <c r="N754" s="644">
        <f t="shared" si="342"/>
        <v>0</v>
      </c>
      <c r="O754" s="644">
        <f t="shared" ref="O754:O759" si="343">IF(L754&gt;0,N754*100/L754,0)</f>
        <v>0</v>
      </c>
      <c r="P754" s="644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79" t="s">
        <v>20</v>
      </c>
      <c r="E757" s="598"/>
      <c r="F757" s="598"/>
      <c r="G757" s="601"/>
      <c r="H757" s="643" t="s">
        <v>12</v>
      </c>
      <c r="I757" s="166"/>
      <c r="J757" s="166"/>
      <c r="K757" s="167"/>
      <c r="L757" s="644">
        <f t="shared" ref="L757:N757" si="347">L758+L759</f>
        <v>0</v>
      </c>
      <c r="M757" s="644">
        <f t="shared" si="347"/>
        <v>0</v>
      </c>
      <c r="N757" s="644">
        <f t="shared" si="347"/>
        <v>0</v>
      </c>
      <c r="O757" s="644">
        <f t="shared" si="343"/>
        <v>0</v>
      </c>
      <c r="P757" s="644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6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6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6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6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79" t="s">
        <v>21</v>
      </c>
      <c r="E764" s="598"/>
      <c r="F764" s="598"/>
      <c r="G764" s="601"/>
      <c r="H764" s="780" t="s">
        <v>12</v>
      </c>
      <c r="I764" s="166"/>
      <c r="J764" s="166"/>
      <c r="K764" s="167"/>
      <c r="L764" s="644">
        <f t="shared" ref="L764:N764" si="348">L765+L766</f>
        <v>0</v>
      </c>
      <c r="M764" s="644">
        <f t="shared" si="348"/>
        <v>0</v>
      </c>
      <c r="N764" s="644">
        <f t="shared" si="348"/>
        <v>0</v>
      </c>
      <c r="O764" s="644">
        <f t="shared" ref="O764:O766" si="349">IF(L764&gt;0,N764*100/L764,0)</f>
        <v>0</v>
      </c>
      <c r="P764" s="644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1" t="s">
        <v>38</v>
      </c>
      <c r="E767" s="648"/>
      <c r="F767" s="648"/>
      <c r="G767" s="649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6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0">
        <v>11</v>
      </c>
      <c r="B769" s="791" t="s">
        <v>318</v>
      </c>
      <c r="C769" s="792"/>
      <c r="D769" s="792"/>
      <c r="E769" s="792"/>
      <c r="F769" s="792"/>
      <c r="G769" s="793"/>
      <c r="H769" s="794" t="s">
        <v>46</v>
      </c>
      <c r="I769" s="795"/>
      <c r="J769" s="795">
        <f>J784</f>
        <v>0</v>
      </c>
      <c r="K769" s="796">
        <f>IF(I769&gt;0,J769*100/I769,0)</f>
        <v>0</v>
      </c>
      <c r="L769" s="797"/>
      <c r="M769" s="797"/>
      <c r="N769" s="797"/>
      <c r="O769" s="797"/>
      <c r="P769" s="797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0" t="s">
        <v>17</v>
      </c>
      <c r="E770" s="853"/>
      <c r="F770" s="853"/>
      <c r="G770" s="601"/>
      <c r="H770" s="643" t="s">
        <v>12</v>
      </c>
      <c r="I770" s="44"/>
      <c r="J770" s="44"/>
      <c r="K770" s="45"/>
      <c r="L770" s="644">
        <f t="shared" ref="L770:N770" si="351">L771+L772</f>
        <v>0</v>
      </c>
      <c r="M770" s="644">
        <f t="shared" si="351"/>
        <v>0</v>
      </c>
      <c r="N770" s="644">
        <f t="shared" si="351"/>
        <v>0</v>
      </c>
      <c r="O770" s="644">
        <f t="shared" ref="O770:O775" si="352">IF(L770&gt;0,N770*100/L770,0)</f>
        <v>0</v>
      </c>
      <c r="P770" s="644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79" t="s">
        <v>20</v>
      </c>
      <c r="E773" s="598"/>
      <c r="F773" s="598"/>
      <c r="G773" s="601"/>
      <c r="H773" s="643" t="s">
        <v>12</v>
      </c>
      <c r="I773" s="166"/>
      <c r="J773" s="166"/>
      <c r="K773" s="167"/>
      <c r="L773" s="644">
        <f t="shared" ref="L773:N773" si="356">L774+L775</f>
        <v>0</v>
      </c>
      <c r="M773" s="644">
        <f t="shared" si="356"/>
        <v>0</v>
      </c>
      <c r="N773" s="644">
        <f t="shared" si="356"/>
        <v>0</v>
      </c>
      <c r="O773" s="644">
        <f t="shared" si="352"/>
        <v>0</v>
      </c>
      <c r="P773" s="644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6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6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6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6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79" t="s">
        <v>21</v>
      </c>
      <c r="E780" s="598"/>
      <c r="F780" s="598"/>
      <c r="G780" s="601"/>
      <c r="H780" s="780" t="s">
        <v>12</v>
      </c>
      <c r="I780" s="166"/>
      <c r="J780" s="166"/>
      <c r="K780" s="167"/>
      <c r="L780" s="644">
        <f t="shared" ref="L780:N780" si="357">L781+L782</f>
        <v>0</v>
      </c>
      <c r="M780" s="644">
        <f t="shared" si="357"/>
        <v>0</v>
      </c>
      <c r="N780" s="644">
        <f t="shared" si="357"/>
        <v>0</v>
      </c>
      <c r="O780" s="644">
        <f t="shared" ref="O780:O782" si="358">IF(L780&gt;0,N780*100/L780,0)</f>
        <v>0</v>
      </c>
      <c r="P780" s="644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1" t="s">
        <v>38</v>
      </c>
      <c r="E783" s="648"/>
      <c r="F783" s="648"/>
      <c r="G783" s="649"/>
      <c r="H783" s="798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6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799">
        <v>12</v>
      </c>
      <c r="B785" s="800" t="s">
        <v>320</v>
      </c>
      <c r="C785" s="801"/>
      <c r="D785" s="801"/>
      <c r="E785" s="801"/>
      <c r="F785" s="801"/>
      <c r="G785" s="802"/>
      <c r="H785" s="803" t="s">
        <v>46</v>
      </c>
      <c r="I785" s="804">
        <f t="shared" ref="I785:J785" ca="1" si="360">I801+I803</f>
        <v>47000</v>
      </c>
      <c r="J785" s="804">
        <f t="shared" ca="1" si="360"/>
        <v>26545</v>
      </c>
      <c r="K785" s="805">
        <f ca="1">IF(I785&gt;0,J785*100/I785,0)</f>
        <v>56.478723404255319</v>
      </c>
      <c r="L785" s="806"/>
      <c r="M785" s="806"/>
      <c r="N785" s="806"/>
      <c r="O785" s="806"/>
      <c r="P785" s="80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59" t="s">
        <v>17</v>
      </c>
      <c r="E786" s="853"/>
      <c r="F786" s="853"/>
      <c r="G786" s="189"/>
      <c r="H786" s="807" t="s">
        <v>12</v>
      </c>
      <c r="I786" s="808"/>
      <c r="J786" s="808"/>
      <c r="K786" s="809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1178432.3399999999</v>
      </c>
      <c r="O786" s="195">
        <f t="shared" ref="O786:O791" ca="1" si="362">IF(L786&gt;0,N786*100/L786,0)</f>
        <v>54.646105690755299</v>
      </c>
      <c r="P786" s="195">
        <f t="shared" ref="P786:P791" ca="1" si="363">IF(M786&gt;0,N786*100/M786,0)</f>
        <v>54.646105690755299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0" t="s">
        <v>12</v>
      </c>
      <c r="I787" s="808"/>
      <c r="J787" s="808"/>
      <c r="K787" s="809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0" t="s">
        <v>12</v>
      </c>
      <c r="I788" s="808"/>
      <c r="J788" s="808"/>
      <c r="K788" s="809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1178432.3399999999</v>
      </c>
      <c r="O788" s="45">
        <f t="shared" ca="1" si="362"/>
        <v>54.646105690755299</v>
      </c>
      <c r="P788" s="45">
        <f t="shared" ca="1" si="363"/>
        <v>54.646105690755299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1" t="s">
        <v>12</v>
      </c>
      <c r="I789" s="812"/>
      <c r="J789" s="812"/>
      <c r="K789" s="813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1178432.3399999999</v>
      </c>
      <c r="O789" s="38">
        <f t="shared" ca="1" si="362"/>
        <v>54.646105690755299</v>
      </c>
      <c r="P789" s="38">
        <f t="shared" ca="1" si="363"/>
        <v>54.646105690755299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0" t="s">
        <v>12</v>
      </c>
      <c r="I790" s="808"/>
      <c r="J790" s="808"/>
      <c r="K790" s="809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0" t="s">
        <v>12</v>
      </c>
      <c r="I791" s="808"/>
      <c r="J791" s="808"/>
      <c r="K791" s="809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1178432.3399999999</v>
      </c>
      <c r="O791" s="45">
        <f t="shared" ca="1" si="362"/>
        <v>54.646105690755299</v>
      </c>
      <c r="P791" s="45">
        <f t="shared" ca="1" si="363"/>
        <v>54.646105690755299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1" t="s">
        <v>12</v>
      </c>
      <c r="I792" s="808"/>
      <c r="J792" s="808"/>
      <c r="K792" s="809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1" t="s">
        <v>12</v>
      </c>
      <c r="I793" s="808"/>
      <c r="J793" s="808"/>
      <c r="K793" s="809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1" t="s">
        <v>12</v>
      </c>
      <c r="I794" s="808"/>
      <c r="J794" s="808"/>
      <c r="K794" s="809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"),348742.25)</f>
        <v>348742.25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1" t="s">
        <v>12</v>
      </c>
      <c r="I795" s="808"/>
      <c r="J795" s="808"/>
      <c r="K795" s="809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"),787690.09)</f>
        <v>787690.09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4" t="s">
        <v>12</v>
      </c>
      <c r="I796" s="812"/>
      <c r="J796" s="812"/>
      <c r="K796" s="81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0" t="s">
        <v>12</v>
      </c>
      <c r="I797" s="812"/>
      <c r="J797" s="812"/>
      <c r="K797" s="813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5" t="s">
        <v>12</v>
      </c>
      <c r="I798" s="812"/>
      <c r="J798" s="812"/>
      <c r="K798" s="813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7" t="s">
        <v>38</v>
      </c>
      <c r="E799" s="610"/>
      <c r="F799" s="610"/>
      <c r="G799" s="611"/>
      <c r="H799" s="816"/>
      <c r="I799" s="812"/>
      <c r="J799" s="812"/>
      <c r="K799" s="81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7" t="s">
        <v>34</v>
      </c>
      <c r="I800" s="812"/>
      <c r="J800" s="818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"),890)</f>
        <v>890</v>
      </c>
      <c r="K800" s="809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1" t="s">
        <v>46</v>
      </c>
      <c r="I801" s="818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19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"),11526)</f>
        <v>11526</v>
      </c>
      <c r="K801" s="820">
        <f ca="1">IF(I801&gt;0,J801*100/I801,0)</f>
        <v>36.018749999999997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1" t="s">
        <v>322</v>
      </c>
      <c r="G802" s="366"/>
      <c r="H802" s="817" t="s">
        <v>34</v>
      </c>
      <c r="I802" s="812"/>
      <c r="J802" s="818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09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7" t="s">
        <v>46</v>
      </c>
      <c r="I803" s="818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19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"),15019)</f>
        <v>15019</v>
      </c>
      <c r="K803" s="820">
        <f t="shared" ref="K803:K804" ca="1" si="370">IF(I803&gt;0,J803*100/I803,0)</f>
        <v>100.12666666666667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0">
        <v>13</v>
      </c>
      <c r="B804" s="791" t="s">
        <v>323</v>
      </c>
      <c r="C804" s="792"/>
      <c r="D804" s="822"/>
      <c r="E804" s="792"/>
      <c r="F804" s="792"/>
      <c r="G804" s="793"/>
      <c r="H804" s="794" t="s">
        <v>46</v>
      </c>
      <c r="I804" s="795"/>
      <c r="J804" s="795">
        <f>J819</f>
        <v>0</v>
      </c>
      <c r="K804" s="796">
        <f t="shared" si="370"/>
        <v>0</v>
      </c>
      <c r="L804" s="797"/>
      <c r="M804" s="797"/>
      <c r="N804" s="797"/>
      <c r="O804" s="797"/>
      <c r="P804" s="797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0" t="s">
        <v>17</v>
      </c>
      <c r="E805" s="853"/>
      <c r="F805" s="853"/>
      <c r="G805" s="601"/>
      <c r="H805" s="643" t="s">
        <v>12</v>
      </c>
      <c r="I805" s="44"/>
      <c r="J805" s="44"/>
      <c r="K805" s="45"/>
      <c r="L805" s="644">
        <f t="shared" ref="L805:N805" si="371">L806+L807</f>
        <v>0</v>
      </c>
      <c r="M805" s="644">
        <f t="shared" si="371"/>
        <v>0</v>
      </c>
      <c r="N805" s="644">
        <f t="shared" si="371"/>
        <v>0</v>
      </c>
      <c r="O805" s="644">
        <f t="shared" ref="O805:O810" si="372">IF(L805&gt;0,N805*100/L805,0)</f>
        <v>0</v>
      </c>
      <c r="P805" s="644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2" t="s">
        <v>20</v>
      </c>
      <c r="E808" s="853"/>
      <c r="F808" s="853"/>
      <c r="G808" s="601"/>
      <c r="H808" s="643" t="s">
        <v>12</v>
      </c>
      <c r="I808" s="166"/>
      <c r="J808" s="166"/>
      <c r="K808" s="167"/>
      <c r="L808" s="644">
        <f t="shared" ref="L808:N808" si="376">L809+L810</f>
        <v>0</v>
      </c>
      <c r="M808" s="644">
        <f t="shared" si="376"/>
        <v>0</v>
      </c>
      <c r="N808" s="644">
        <f t="shared" si="376"/>
        <v>0</v>
      </c>
      <c r="O808" s="644">
        <f t="shared" si="372"/>
        <v>0</v>
      </c>
      <c r="P808" s="644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6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6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6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6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2" t="s">
        <v>21</v>
      </c>
      <c r="E815" s="853"/>
      <c r="F815" s="853"/>
      <c r="G815" s="601"/>
      <c r="H815" s="780" t="s">
        <v>12</v>
      </c>
      <c r="I815" s="166"/>
      <c r="J815" s="166"/>
      <c r="K815" s="167"/>
      <c r="L815" s="644">
        <f t="shared" ref="L815:N815" si="377">L816+L817</f>
        <v>0</v>
      </c>
      <c r="M815" s="644">
        <f t="shared" si="377"/>
        <v>0</v>
      </c>
      <c r="N815" s="644">
        <f t="shared" si="377"/>
        <v>0</v>
      </c>
      <c r="O815" s="644">
        <f t="shared" ref="O815:O817" si="378">IF(L815&gt;0,N815*100/L815,0)</f>
        <v>0</v>
      </c>
      <c r="P815" s="644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3" t="s">
        <v>38</v>
      </c>
      <c r="E818" s="648"/>
      <c r="F818" s="648"/>
      <c r="G818" s="649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4"/>
      <c r="B819" s="825"/>
      <c r="C819" s="826"/>
      <c r="D819" s="825"/>
      <c r="E819" s="827" t="s">
        <v>324</v>
      </c>
      <c r="F819" s="826"/>
      <c r="G819" s="828"/>
      <c r="H819" s="829" t="s">
        <v>46</v>
      </c>
      <c r="I819" s="830"/>
      <c r="J819" s="830"/>
      <c r="K819" s="831"/>
      <c r="L819" s="831"/>
      <c r="M819" s="831"/>
      <c r="N819" s="831"/>
      <c r="O819" s="831"/>
      <c r="P819" s="831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2" t="s">
        <v>325</v>
      </c>
      <c r="B820" s="833"/>
      <c r="C820" s="833"/>
      <c r="D820" s="834"/>
      <c r="E820" s="833"/>
      <c r="F820" s="833"/>
      <c r="G820" s="835"/>
      <c r="H820" s="836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215"/>
      <c r="J820" s="215"/>
      <c r="K820" s="837"/>
      <c r="L820" s="837"/>
      <c r="M820" s="837"/>
      <c r="N820" s="837"/>
      <c r="O820" s="837"/>
      <c r="P820" s="837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1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"),75341595.1599999)</f>
        <v>75341595.159999907</v>
      </c>
      <c r="K821" s="38">
        <f t="shared" ref="K821:K828" ca="1" si="380">IF(I821&gt;0,J821*100/I821,0)</f>
        <v>57.859941993037914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1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"),4640)</f>
        <v>4640</v>
      </c>
      <c r="K822" s="38">
        <f t="shared" ca="1" si="380"/>
        <v>54.898248935163274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1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"),16951675.1899999)</f>
        <v>16951675.189999901</v>
      </c>
      <c r="K823" s="38">
        <f t="shared" ca="1" si="380"/>
        <v>11.00464019849956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1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"),2643)</f>
        <v>2643</v>
      </c>
      <c r="K824" s="38">
        <f t="shared" ca="1" si="380"/>
        <v>36.205479452054796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1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"),9852771.58999999)</f>
        <v>9852771.5899999905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"),4938633.15)</f>
        <v>4938633.1500000004</v>
      </c>
      <c r="K825" s="38">
        <f t="shared" ca="1" si="380"/>
        <v>50.124303652917682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1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"),1208)</f>
        <v>1208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"),852)</f>
        <v>852</v>
      </c>
      <c r="K826" s="38">
        <f t="shared" ca="1" si="380"/>
        <v>70.52980132450331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1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"),72353000)</f>
        <v>72353000</v>
      </c>
      <c r="K827" s="38">
        <f t="shared" ca="1" si="380"/>
        <v>50.916959887403237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4"/>
      <c r="B828" s="746"/>
      <c r="C828" s="746"/>
      <c r="D828" s="745"/>
      <c r="E828" s="746"/>
      <c r="F828" s="746"/>
      <c r="G828" s="838"/>
      <c r="H828" s="839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"),1913)</f>
        <v>1913</v>
      </c>
      <c r="K828" s="505">
        <f t="shared" ca="1" si="380"/>
        <v>36.951902646320264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E44E-4C32-4A98-B19C-7F4E446E5B1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4.5703125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331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6481547</v>
      </c>
      <c r="M8" s="879">
        <f t="shared" ca="1" si="0"/>
        <v>5789714.4800000004</v>
      </c>
      <c r="N8" s="879">
        <f t="shared" ca="1" si="0"/>
        <v>2957532.21</v>
      </c>
      <c r="O8" s="879">
        <f t="shared" ref="O8:O16" ca="1" si="1">IF(L8&gt;0,N8*100/L8,0)</f>
        <v>45.630035699810556</v>
      </c>
      <c r="P8" s="879">
        <f t="shared" ref="P8:P16" ca="1" si="2">IF(M8&gt;0,N8*100/M8,0)</f>
        <v>51.082522639354742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6481547</v>
      </c>
      <c r="M10" s="886">
        <f t="shared" ca="1" si="3"/>
        <v>5789714.4800000004</v>
      </c>
      <c r="N10" s="886">
        <f t="shared" ca="1" si="3"/>
        <v>2957532.21</v>
      </c>
      <c r="O10" s="886">
        <f t="shared" ca="1" si="1"/>
        <v>45.630035699810556</v>
      </c>
      <c r="P10" s="886">
        <f t="shared" ca="1" si="2"/>
        <v>51.082522639354742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6397747</v>
      </c>
      <c r="M11" s="893">
        <f t="shared" ca="1" si="4"/>
        <v>5705914.4800000004</v>
      </c>
      <c r="N11" s="893">
        <f t="shared" ca="1" si="4"/>
        <v>2873732.21</v>
      </c>
      <c r="O11" s="893">
        <f t="shared" ca="1" si="1"/>
        <v>44.917878278087585</v>
      </c>
      <c r="P11" s="893">
        <f t="shared" ca="1" si="2"/>
        <v>50.364095362326559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6397747</v>
      </c>
      <c r="M13" s="899">
        <f t="shared" ca="1" si="5"/>
        <v>5705914.4800000004</v>
      </c>
      <c r="N13" s="899">
        <f t="shared" ca="1" si="5"/>
        <v>2873732.21</v>
      </c>
      <c r="O13" s="899">
        <f t="shared" ca="1" si="1"/>
        <v>44.917878278087585</v>
      </c>
      <c r="P13" s="899">
        <f t="shared" ca="1" si="2"/>
        <v>50.364095362326559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83800</v>
      </c>
      <c r="M14" s="893">
        <f t="shared" ca="1" si="6"/>
        <v>83800</v>
      </c>
      <c r="N14" s="893">
        <f t="shared" ca="1" si="6"/>
        <v>83800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83800</v>
      </c>
      <c r="M16" s="905">
        <f t="shared" ca="1" si="7"/>
        <v>83800</v>
      </c>
      <c r="N16" s="905">
        <f t="shared" ca="1" si="7"/>
        <v>83800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3619460</v>
      </c>
      <c r="M18" s="879">
        <f t="shared" ca="1" si="8"/>
        <v>2927627.48</v>
      </c>
      <c r="N18" s="879">
        <f t="shared" ca="1" si="8"/>
        <v>2141357.63</v>
      </c>
      <c r="O18" s="879">
        <f t="shared" ref="O18:O26" ca="1" si="9">IF(L18&gt;0,N18*100/L18,0)</f>
        <v>59.162351013687122</v>
      </c>
      <c r="P18" s="879">
        <f t="shared" ref="P18:P26" ca="1" si="10">IF(M18&gt;0,N18*100/M18,0)</f>
        <v>73.143104600179527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3619460</v>
      </c>
      <c r="M20" s="886">
        <f t="shared" ca="1" si="11"/>
        <v>2927627.48</v>
      </c>
      <c r="N20" s="886">
        <f t="shared" ca="1" si="11"/>
        <v>2141357.63</v>
      </c>
      <c r="O20" s="886">
        <f t="shared" ca="1" si="9"/>
        <v>59.162351013687122</v>
      </c>
      <c r="P20" s="886">
        <f t="shared" ca="1" si="10"/>
        <v>73.143104600179527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3535660</v>
      </c>
      <c r="M21" s="893">
        <f t="shared" ca="1" si="12"/>
        <v>2843827.48</v>
      </c>
      <c r="N21" s="893">
        <f t="shared" ca="1" si="12"/>
        <v>2057557.6300000001</v>
      </c>
      <c r="O21" s="893">
        <f t="shared" ca="1" si="9"/>
        <v>58.194442621745303</v>
      </c>
      <c r="P21" s="893">
        <f t="shared" ca="1" si="10"/>
        <v>72.351703627253784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3535660</v>
      </c>
      <c r="M23" s="899">
        <f t="shared" ca="1" si="13"/>
        <v>2843827.48</v>
      </c>
      <c r="N23" s="899">
        <f t="shared" ca="1" si="13"/>
        <v>2057557.6300000001</v>
      </c>
      <c r="O23" s="899">
        <f t="shared" ca="1" si="9"/>
        <v>58.194442621745303</v>
      </c>
      <c r="P23" s="899">
        <f t="shared" ca="1" si="10"/>
        <v>72.351703627253784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83800</v>
      </c>
      <c r="M24" s="893">
        <f t="shared" ca="1" si="14"/>
        <v>83800</v>
      </c>
      <c r="N24" s="893">
        <f t="shared" ca="1" si="14"/>
        <v>83800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83800</v>
      </c>
      <c r="M26" s="905">
        <f t="shared" ca="1" si="15"/>
        <v>83800</v>
      </c>
      <c r="N26" s="905">
        <f t="shared" ca="1" si="15"/>
        <v>83800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2862087</v>
      </c>
      <c r="M28" s="879">
        <f t="shared" ca="1" si="16"/>
        <v>2862087</v>
      </c>
      <c r="N28" s="879">
        <f t="shared" si="16"/>
        <v>816174.58</v>
      </c>
      <c r="O28" s="879">
        <f t="shared" ref="O28:O37" ca="1" si="17">IF(L28&gt;0,N28*100/L28,0)</f>
        <v>28.516763466659121</v>
      </c>
      <c r="P28" s="879">
        <f t="shared" ref="P28:P37" ca="1" si="18">IF(M28&gt;0,N28*100/M28,0)</f>
        <v>28.516763466659121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2862087</v>
      </c>
      <c r="M30" s="886">
        <f t="shared" ca="1" si="19"/>
        <v>2862087</v>
      </c>
      <c r="N30" s="886">
        <f t="shared" si="19"/>
        <v>816174.58</v>
      </c>
      <c r="O30" s="886">
        <f t="shared" ca="1" si="17"/>
        <v>28.516763466659121</v>
      </c>
      <c r="P30" s="886">
        <f t="shared" ca="1" si="18"/>
        <v>28.516763466659121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2862087</v>
      </c>
      <c r="M31" s="893">
        <f t="shared" ca="1" si="20"/>
        <v>2862087</v>
      </c>
      <c r="N31" s="893">
        <f t="shared" si="20"/>
        <v>816174.58</v>
      </c>
      <c r="O31" s="893">
        <f t="shared" ca="1" si="17"/>
        <v>28.516763466659121</v>
      </c>
      <c r="P31" s="893">
        <f t="shared" ca="1" si="18"/>
        <v>28.516763466659121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2862087</v>
      </c>
      <c r="M33" s="899">
        <f t="shared" ca="1" si="21"/>
        <v>2862087</v>
      </c>
      <c r="N33" s="899">
        <f t="shared" si="21"/>
        <v>816174.58</v>
      </c>
      <c r="O33" s="899">
        <f t="shared" ca="1" si="17"/>
        <v>28.516763466659121</v>
      </c>
      <c r="P33" s="899">
        <f t="shared" ca="1" si="18"/>
        <v>28.516763466659121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3619460</v>
      </c>
      <c r="M37" s="912">
        <f t="shared" ca="1" si="24"/>
        <v>2927627.48</v>
      </c>
      <c r="N37" s="912">
        <f t="shared" ca="1" si="24"/>
        <v>2141357.63</v>
      </c>
      <c r="O37" s="912">
        <f t="shared" ca="1" si="17"/>
        <v>59.162351013687122</v>
      </c>
      <c r="P37" s="912">
        <f t="shared" ca="1" si="18"/>
        <v>73.143104600179527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746550</v>
      </c>
      <c r="M41" s="938">
        <f t="shared" ca="1" si="25"/>
        <v>761442.48</v>
      </c>
      <c r="N41" s="938">
        <f t="shared" ca="1" si="25"/>
        <v>480734.41</v>
      </c>
      <c r="O41" s="938">
        <f t="shared" ref="O41:O49" ca="1" si="26">IF(L41&gt;0,N41*100/L41,0)</f>
        <v>64.394134351349535</v>
      </c>
      <c r="P41" s="938">
        <f t="shared" ref="P41:P49" ca="1" si="27">IF(M41&gt;0,N41*100/M41,0)</f>
        <v>63.134697974822735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746550</v>
      </c>
      <c r="M43" s="944">
        <f t="shared" ca="1" si="28"/>
        <v>761442.48</v>
      </c>
      <c r="N43" s="944">
        <f t="shared" ca="1" si="28"/>
        <v>480734.41</v>
      </c>
      <c r="O43" s="944">
        <f t="shared" ca="1" si="26"/>
        <v>64.394134351349535</v>
      </c>
      <c r="P43" s="944">
        <f t="shared" ca="1" si="27"/>
        <v>63.134697974822735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746550</v>
      </c>
      <c r="M44" s="893">
        <f t="shared" ca="1" si="29"/>
        <v>761442.48</v>
      </c>
      <c r="N44" s="893">
        <f t="shared" ca="1" si="29"/>
        <v>480734.41</v>
      </c>
      <c r="O44" s="893">
        <f t="shared" ca="1" si="26"/>
        <v>64.394134351349535</v>
      </c>
      <c r="P44" s="893">
        <f t="shared" ca="1" si="27"/>
        <v>63.134697974822735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IFERROR(__xludf.DUMMYFUNCTION("IMPORTRANGE(""https://docs.google.com/spreadsheets/d/1MeEWN-I1oV_STSDYn1IFDPWt_1FKiwhDph83XaGc0o0/edit?usp=sharing"",""งบพรบ!M32"")"),746550)</f>
        <v>746550</v>
      </c>
      <c r="M46" s="899">
        <f ca="1">IFERROR(__xludf.DUMMYFUNCTION("IMPORTRANGE(""https://docs.google.com/spreadsheets/d/1MeEWN-I1oV_STSDYn1IFDPWt_1FKiwhDph83XaGc0o0/edit?usp=sharing"",""งบพรบ!R32"")"),761442.48)</f>
        <v>761442.48</v>
      </c>
      <c r="N46" s="899">
        <f ca="1">IFERROR(__xludf.DUMMYFUNCTION("IMPORTRANGE(""https://docs.google.com/spreadsheets/d/1MeEWN-I1oV_STSDYn1IFDPWt_1FKiwhDph83XaGc0o0/edit?usp=sharing"",""งบพรบ!T32"")"),480734.41)</f>
        <v>480734.41</v>
      </c>
      <c r="O46" s="899">
        <f t="shared" ca="1" si="26"/>
        <v>64.394134351349535</v>
      </c>
      <c r="P46" s="899">
        <f t="shared" ca="1" si="27"/>
        <v>63.134697974822735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IFERROR(__xludf.DUMMYFUNCTION("IMPORTRANGE(""https://docs.google.com/spreadsheets/d/1MeEWN-I1oV_STSDYn1IFDPWt_1FKiwhDph83XaGc0o0/edit?usp=sharing"",""งบพรบ!P32"")"),0)</f>
        <v>0</v>
      </c>
      <c r="M49" s="905">
        <f ca="1">IFERROR(__xludf.DUMMYFUNCTION("IMPORTRANGE(""https://docs.google.com/spreadsheets/d/1MeEWN-I1oV_STSDYn1IFDPWt_1FKiwhDph83XaGc0o0/edit?usp=sharing"",""งบพรบ!S32"")"),0)</f>
        <v>0</v>
      </c>
      <c r="N49" s="905">
        <f ca="1">IFERROR(__xludf.DUMMYFUNCTION("IMPORTRANGE(""https://docs.google.com/spreadsheets/d/1MeEWN-I1oV_STSDYn1IFDPWt_1FKiwhDph83XaGc0o0/edit?usp=sharing"",""งบพรบ!U32"")"),0)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759500</v>
      </c>
      <c r="M53" s="968">
        <f t="shared" ca="1" si="31"/>
        <v>569625</v>
      </c>
      <c r="N53" s="968">
        <f t="shared" ca="1" si="31"/>
        <v>476866.88</v>
      </c>
      <c r="O53" s="968">
        <f t="shared" ref="O53:O61" ca="1" si="32">IF(L53&gt;0,N53*100/L53,0)</f>
        <v>62.786949308755759</v>
      </c>
      <c r="P53" s="968">
        <f t="shared" ref="P53:P61" ca="1" si="33">IF(M53&gt;0,N53*100/M53,0)</f>
        <v>83.715932411674345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759500</v>
      </c>
      <c r="M55" s="974">
        <f t="shared" ca="1" si="34"/>
        <v>569625</v>
      </c>
      <c r="N55" s="974">
        <f t="shared" ca="1" si="34"/>
        <v>476866.88</v>
      </c>
      <c r="O55" s="974">
        <f t="shared" ca="1" si="32"/>
        <v>62.786949308755759</v>
      </c>
      <c r="P55" s="974">
        <f t="shared" ca="1" si="33"/>
        <v>83.715932411674345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759500</v>
      </c>
      <c r="M56" s="893">
        <f t="shared" ca="1" si="35"/>
        <v>569625</v>
      </c>
      <c r="N56" s="893">
        <f t="shared" ca="1" si="35"/>
        <v>476866.88</v>
      </c>
      <c r="O56" s="893">
        <f t="shared" ca="1" si="32"/>
        <v>62.786949308755759</v>
      </c>
      <c r="P56" s="893">
        <f t="shared" ca="1" si="33"/>
        <v>83.715932411674345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IFERROR(__xludf.DUMMYFUNCTION("IMPORTRANGE(""https://docs.google.com/spreadsheets/d/1MeEWN-I1oV_STSDYn1IFDPWt_1FKiwhDph83XaGc0o0/edit?usp=sharing"",""งบพรบ!W32"")"),759500)</f>
        <v>759500</v>
      </c>
      <c r="M58" s="899">
        <f ca="1">IFERROR(__xludf.DUMMYFUNCTION("IMPORTRANGE(""https://docs.google.com/spreadsheets/d/1MeEWN-I1oV_STSDYn1IFDPWt_1FKiwhDph83XaGc0o0/edit?usp=sharing"",""งบพรบ!AB32"")"),569625)</f>
        <v>569625</v>
      </c>
      <c r="N58" s="899">
        <f ca="1">IFERROR(__xludf.DUMMYFUNCTION("IMPORTRANGE(""https://docs.google.com/spreadsheets/d/1MeEWN-I1oV_STSDYn1IFDPWt_1FKiwhDph83XaGc0o0/edit?usp=sharing"",""งบพรบ!AD32"")"),476866.88)</f>
        <v>476866.88</v>
      </c>
      <c r="O58" s="899">
        <f t="shared" ca="1" si="32"/>
        <v>62.786949308755759</v>
      </c>
      <c r="P58" s="899">
        <f t="shared" ca="1" si="33"/>
        <v>83.715932411674345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IFERROR(__xludf.DUMMYFUNCTION("IMPORTRANGE(""https://docs.google.com/spreadsheets/d/1MeEWN-I1oV_STSDYn1IFDPWt_1FKiwhDph83XaGc0o0/edit?usp=sharing"",""งบพรบ!Z32"")"),0)</f>
        <v>0</v>
      </c>
      <c r="M61" s="905">
        <f ca="1">IFERROR(__xludf.DUMMYFUNCTION("IMPORTRANGE(""https://docs.google.com/spreadsheets/d/1MeEWN-I1oV_STSDYn1IFDPWt_1FKiwhDph83XaGc0o0/edit?usp=sharing"",""งบพรบ!AC32"")"),0)</f>
        <v>0</v>
      </c>
      <c r="N61" s="905">
        <f ca="1">IFERROR(__xludf.DUMMYFUNCTION("IMPORTRANGE(""https://docs.google.com/spreadsheets/d/1MeEWN-I1oV_STSDYn1IFDPWt_1FKiwhDph83XaGc0o0/edit?usp=sharing"",""งบพรบ!AE32"")"),0)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IFERROR(__xludf.DUMMYFUNCTION("IMPORTRANGE(""https://docs.google.com/spreadsheets/d/1MeEWN-I1oV_STSDYn1IFDPWt_1FKiwhDph83XaGc0o0/edit?usp=sharing"",""งบพรบ!AG32"")"),0)</f>
        <v>0</v>
      </c>
      <c r="M71" s="899">
        <f ca="1">IFERROR(__xludf.DUMMYFUNCTION("IMPORTRANGE(""https://docs.google.com/spreadsheets/d/1MeEWN-I1oV_STSDYn1IFDPWt_1FKiwhDph83XaGc0o0/edit?usp=sharing"",""งบพรบ!AL32"")"),0)</f>
        <v>0</v>
      </c>
      <c r="N71" s="899">
        <f ca="1">IFERROR(__xludf.DUMMYFUNCTION("IMPORTRANGE(""https://docs.google.com/spreadsheets/d/1MeEWN-I1oV_STSDYn1IFDPWt_1FKiwhDph83XaGc0o0/edit?usp=sharing"",""งบพรบ!AN32"")"),0)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IFERROR(__xludf.DUMMYFUNCTION("IMPORTRANGE(""https://docs.google.com/spreadsheets/d/1MeEWN-I1oV_STSDYn1IFDPWt_1FKiwhDph83XaGc0o0/edit?usp=sharing"",""งบพรบ!AJ32"")"),0)</f>
        <v>0</v>
      </c>
      <c r="M74" s="899">
        <f ca="1">IFERROR(__xludf.DUMMYFUNCTION("IMPORTRANGE(""https://docs.google.com/spreadsheets/d/1MeEWN-I1oV_STSDYn1IFDPWt_1FKiwhDph83XaGc0o0/edit?usp=sharing"",""งบพรบ!AM32"")"),0)</f>
        <v>0</v>
      </c>
      <c r="N74" s="899">
        <f ca="1">IFERROR(__xludf.DUMMYFUNCTION("IMPORTRANGE(""https://docs.google.com/spreadsheets/d/1MeEWN-I1oV_STSDYn1IFDPWt_1FKiwhDph83XaGc0o0/edit?usp=sharing"",""งบพรบ!AO32"")"),0)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IFERROR(__xludf.DUMMYFUNCTION("IMPORTRANGE(""https://docs.google.com/spreadsheets/d/1QqKyyYR6Q21VydFLVH3TRQUabQu_ym0Zz7PgGX0-kHA/edit?usp=sharing"",""แผน!H32"")"),0)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IFERROR(__xludf.DUMMYFUNCTION("IMPORTRANGE(""https://docs.google.com/spreadsheets/d/1QqKyyYR6Q21VydFLVH3TRQUabQu_ym0Zz7PgGX0-kHA/edit?usp=sharing"",""แผน!I32"")"),0)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IFERROR(__xludf.DUMMYFUNCTION("IMPORTRANGE(""https://docs.google.com/spreadsheets/d/1QqKyyYR6Q21VydFLVH3TRQUabQu_ym0Zz7PgGX0-kHA/edit?usp=sharing"",""แผน!F32"")"),0)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IFERROR(__xludf.DUMMYFUNCTION("IMPORTRANGE(""https://docs.google.com/spreadsheets/d/1QqKyyYR6Q21VydFLVH3TRQUabQu_ym0Zz7PgGX0-kHA/edit?usp=sharing"",""แผน!G32"")"),0)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IFERROR(__xludf.DUMMYFUNCTION("IMPORTRANGE(""https://docs.google.com/spreadsheets/d/1QqKyyYR6Q21VydFLVH3TRQUabQu_ym0Zz7PgGX0-kHA/edit?usp=sharing"",""แผน!D32"")"),0)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IFERROR(__xludf.DUMMYFUNCTION("IMPORTRANGE(""https://docs.google.com/spreadsheets/d/1QqKyyYR6Q21VydFLVH3TRQUabQu_ym0Zz7PgGX0-kHA/edit?usp=sharing"",""แผน!E32"")"),0)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IFERROR(__xludf.DUMMYFUNCTION("IMPORTRANGE(""https://docs.google.com/spreadsheets/d/1QqKyyYR6Q21VydFLVH3TRQUabQu_ym0Zz7PgGX0-kHA/edit?usp=sharing"",""แผน!J32"")"),0)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56040</v>
      </c>
      <c r="M88" s="1004">
        <f t="shared" ca="1" si="49"/>
        <v>51190</v>
      </c>
      <c r="N88" s="1004">
        <f t="shared" ca="1" si="49"/>
        <v>47049.3</v>
      </c>
      <c r="O88" s="1004">
        <f t="shared" ref="O88:O96" ca="1" si="50">IF(L88&gt;0,N88*100/L88,0)</f>
        <v>83.956638115631691</v>
      </c>
      <c r="P88" s="1004">
        <f t="shared" ref="P88:P96" ca="1" si="51">IF(M88&gt;0,N88*100/M88,0)</f>
        <v>91.911115452236771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56040</v>
      </c>
      <c r="M90" s="899">
        <f t="shared" ca="1" si="52"/>
        <v>51190</v>
      </c>
      <c r="N90" s="899">
        <f t="shared" ca="1" si="52"/>
        <v>47049.3</v>
      </c>
      <c r="O90" s="899">
        <f t="shared" ca="1" si="50"/>
        <v>83.956638115631691</v>
      </c>
      <c r="P90" s="899">
        <f t="shared" ca="1" si="51"/>
        <v>91.911115452236771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56040</v>
      </c>
      <c r="M91" s="893">
        <f t="shared" ca="1" si="53"/>
        <v>51190</v>
      </c>
      <c r="N91" s="893">
        <f t="shared" ca="1" si="53"/>
        <v>47049.3</v>
      </c>
      <c r="O91" s="893">
        <f t="shared" ca="1" si="50"/>
        <v>83.956638115631691</v>
      </c>
      <c r="P91" s="893">
        <f t="shared" ca="1" si="51"/>
        <v>91.911115452236771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IFERROR(__xludf.DUMMYFUNCTION("IMPORTRANGE(""https://docs.google.com/spreadsheets/d/1MeEWN-I1oV_STSDYn1IFDPWt_1FKiwhDph83XaGc0o0/edit?usp=sharing"",""งบพรบ!AQ32"")"),56040)</f>
        <v>56040</v>
      </c>
      <c r="M93" s="899">
        <f ca="1">IFERROR(__xludf.DUMMYFUNCTION("IMPORTRANGE(""https://docs.google.com/spreadsheets/d/1MeEWN-I1oV_STSDYn1IFDPWt_1FKiwhDph83XaGc0o0/edit?usp=sharing"",""งบพรบ!AV32"")"),51190)</f>
        <v>51190</v>
      </c>
      <c r="N93" s="899">
        <f ca="1">IFERROR(__xludf.DUMMYFUNCTION("IMPORTRANGE(""https://docs.google.com/spreadsheets/d/1MeEWN-I1oV_STSDYn1IFDPWt_1FKiwhDph83XaGc0o0/edit?usp=sharing"",""งบพรบ!AX32"")"),47049.3)</f>
        <v>47049.3</v>
      </c>
      <c r="O93" s="899">
        <f t="shared" ca="1" si="50"/>
        <v>83.956638115631691</v>
      </c>
      <c r="P93" s="899">
        <f t="shared" ca="1" si="51"/>
        <v>91.911115452236771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IFERROR(__xludf.DUMMYFUNCTION("IMPORTRANGE(""https://docs.google.com/spreadsheets/d/1MeEWN-I1oV_STSDYn1IFDPWt_1FKiwhDph83XaGc0o0/edit?usp=sharing"",""งบพรบ!AT32"")"),0)</f>
        <v>0</v>
      </c>
      <c r="M96" s="899">
        <f ca="1">IFERROR(__xludf.DUMMYFUNCTION("IMPORTRANGE(""https://docs.google.com/spreadsheets/d/1MeEWN-I1oV_STSDYn1IFDPWt_1FKiwhDph83XaGc0o0/edit?usp=sharing"",""งบพรบ!AW32"")"),0)</f>
        <v>0</v>
      </c>
      <c r="N96" s="899">
        <f ca="1">IFERROR(__xludf.DUMMYFUNCTION("IMPORTRANGE(""https://docs.google.com/spreadsheets/d/1MeEWN-I1oV_STSDYn1IFDPWt_1FKiwhDph83XaGc0o0/edit?usp=sharing"",""งบพรบ!AY32"")"),0)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IFERROR(__xludf.DUMMYFUNCTION("IMPORTRANGE(""https://docs.google.com/spreadsheets/d/1QqKyyYR6Q21VydFLVH3TRQUabQu_ym0Zz7PgGX0-kHA/edit?usp=sharing"",""แผน!K32"")"),30)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IFERROR(__xludf.DUMMYFUNCTION("IMPORTRANGE(""https://docs.google.com/spreadsheets/d/1QqKyyYR6Q21VydFLVH3TRQUabQu_ym0Zz7PgGX0-kHA/edit?usp=sharing"",""แผน!L32"")"),10)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IFERROR(__xludf.DUMMYFUNCTION("IMPORTRANGE(""https://docs.google.com/spreadsheets/d/1QqKyyYR6Q21VydFLVH3TRQUabQu_ym0Zz7PgGX0-kHA/edit?usp=sharing"",""แผน!M32"")"),1)</f>
        <v>1</v>
      </c>
      <c r="J100" s="892">
        <f>J107+J110</f>
        <v>1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IFERROR(__xludf.DUMMYFUNCTION("IMPORTRANGE(""https://docs.google.com/spreadsheets/d/1QqKyyYR6Q21VydFLVH3TRQUabQu_ym0Zz7PgGX0-kHA/edit?usp=sharing"",""แผน!N32"")"),30)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IFERROR(__xludf.DUMMYFUNCTION("IMPORTRANGE(""https://docs.google.com/spreadsheets/d/1QqKyyYR6Q21VydFLVH3TRQUabQu_ym0Zz7PgGX0-kHA/edit?usp=sharing"",""แผน!O32"")"),10)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IFERROR(__xludf.DUMMYFUNCTION("IMPORTRANGE(""https://docs.google.com/spreadsheets/d/1QqKyyYR6Q21VydFLVH3TRQUabQu_ym0Zz7PgGX0-kHA/edit?usp=sharing"",""แผน!O32"")"),10)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IFERROR(__xludf.DUMMYFUNCTION("IMPORTRANGE(""https://docs.google.com/spreadsheets/d/1QqKyyYR6Q21VydFLVH3TRQUabQu_ym0Zz7PgGX0-kHA/edit?usp=sharing"",""แผน!P32"")"),1)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IFERROR(__xludf.DUMMYFUNCTION("IMPORTRANGE(""https://docs.google.com/spreadsheets/d/1QqKyyYR6Q21VydFLVH3TRQUabQu_ym0Zz7PgGX0-kHA/edit?usp=sharing"",""แผน!P32"")"),1)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IFERROR(__xludf.DUMMYFUNCTION("IMPORTRANGE(""https://docs.google.com/spreadsheets/d/1QqKyyYR6Q21VydFLVH3TRQUabQu_ym0Zz7PgGX0-kHA/edit?usp=sharing"",""แผน!Q32"")"),0)</f>
        <v>0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IFERROR(__xludf.DUMMYFUNCTION("IMPORTRANGE(""https://docs.google.com/spreadsheets/d/1QqKyyYR6Q21VydFLVH3TRQUabQu_ym0Zz7PgGX0-kHA/edit?usp=sharing"",""แผน!Q32"")"),0)</f>
        <v>0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IFERROR(__xludf.DUMMYFUNCTION("IMPORTRANGE(""https://docs.google.com/spreadsheets/d/1QqKyyYR6Q21VydFLVH3TRQUabQu_ym0Zz7PgGX0-kHA/edit?usp=sharing"",""แผน!R32"")"),10)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1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IFERROR(__xludf.DUMMYFUNCTION("IMPORTRANGE(""https://docs.google.com/spreadsheets/d/1QqKyyYR6Q21VydFLVH3TRQUabQu_ym0Zz7PgGX0-kHA/edit?usp=sharing"",""แผน!R32"")"),10)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IFERROR(__xludf.DUMMYFUNCTION("IMPORTRANGE(""https://docs.google.com/spreadsheets/d/1QqKyyYR6Q21VydFLVH3TRQUabQu_ym0Zz7PgGX0-kHA/edit?usp=sharing"",""แผน!R32"")"),10)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IFERROR(__xludf.DUMMYFUNCTION("IMPORTRANGE(""https://docs.google.com/spreadsheets/d/1QqKyyYR6Q21VydFLVH3TRQUabQu_ym0Zz7PgGX0-kHA/edit?usp=sharing"",""แผน!S32"")"),1)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IFERROR(__xludf.DUMMYFUNCTION("IMPORTRANGE(""https://docs.google.com/spreadsheets/d/1QqKyyYR6Q21VydFLVH3TRQUabQu_ym0Zz7PgGX0-kHA/edit?usp=sharing"",""แผน!T32"")"),0)</f>
        <v>0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IFERROR(__xludf.DUMMYFUNCTION("IMPORTRANGE(""https://docs.google.com/spreadsheets/d/1MeEWN-I1oV_STSDYn1IFDPWt_1FKiwhDph83XaGc0o0/edit?usp=sharing"",""งบพรบ!BA32"")"),0)</f>
        <v>0</v>
      </c>
      <c r="M124" s="899">
        <f ca="1">IFERROR(__xludf.DUMMYFUNCTION("IMPORTRANGE(""https://docs.google.com/spreadsheets/d/1MeEWN-I1oV_STSDYn1IFDPWt_1FKiwhDph83XaGc0o0/edit?usp=sharing"",""งบพรบ!BF32"")"),0)</f>
        <v>0</v>
      </c>
      <c r="N124" s="899">
        <f ca="1">IFERROR(__xludf.DUMMYFUNCTION("IMPORTRANGE(""https://docs.google.com/spreadsheets/d/1MeEWN-I1oV_STSDYn1IFDPWt_1FKiwhDph83XaGc0o0/edit?usp=sharing"",""งบพรบ!BH32"")"),0)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IFERROR(__xludf.DUMMYFUNCTION("IMPORTRANGE(""https://docs.google.com/spreadsheets/d/1MeEWN-I1oV_STSDYn1IFDPWt_1FKiwhDph83XaGc0o0/edit?usp=sharing"",""งบพรบ!BD32"")"),0)</f>
        <v>0</v>
      </c>
      <c r="M127" s="899">
        <f ca="1">IFERROR(__xludf.DUMMYFUNCTION("IMPORTRANGE(""https://docs.google.com/spreadsheets/d/1MeEWN-I1oV_STSDYn1IFDPWt_1FKiwhDph83XaGc0o0/edit?usp=sharing"",""งบพรบ!BG32"")"),0)</f>
        <v>0</v>
      </c>
      <c r="N127" s="899">
        <f ca="1">IFERROR(__xludf.DUMMYFUNCTION("IMPORTRANGE(""https://docs.google.com/spreadsheets/d/1MeEWN-I1oV_STSDYn1IFDPWt_1FKiwhDph83XaGc0o0/edit?usp=sharing"",""งบพรบ!BI32"")"),0)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IFERROR(__xludf.DUMMYFUNCTION("IMPORTRANGE(""https://docs.google.com/spreadsheets/d/1MeEWN-I1oV_STSDYn1IFDPWt_1FKiwhDph83XaGc0o0/edit?usp=sharing"",""งบพรบ!BK32"")"),0)</f>
        <v>0</v>
      </c>
      <c r="M137" s="899">
        <f ca="1">IFERROR(__xludf.DUMMYFUNCTION("IMPORTRANGE(""https://docs.google.com/spreadsheets/d/1MeEWN-I1oV_STSDYn1IFDPWt_1FKiwhDph83XaGc0o0/edit?usp=sharing"",""งบพรบ!BP32"")"),0)</f>
        <v>0</v>
      </c>
      <c r="N137" s="899">
        <f ca="1">IFERROR(__xludf.DUMMYFUNCTION("IMPORTRANGE(""https://docs.google.com/spreadsheets/d/1MeEWN-I1oV_STSDYn1IFDPWt_1FKiwhDph83XaGc0o0/edit?usp=sharing"",""งบพรบ!BR32"")"),0)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IFERROR(__xludf.DUMMYFUNCTION("IMPORTRANGE(""https://docs.google.com/spreadsheets/d/1MeEWN-I1oV_STSDYn1IFDPWt_1FKiwhDph83XaGc0o0/edit?usp=sharing"",""งบพรบ!BN32"")"),0)</f>
        <v>0</v>
      </c>
      <c r="M140" s="899">
        <f ca="1">IFERROR(__xludf.DUMMYFUNCTION("IMPORTRANGE(""https://docs.google.com/spreadsheets/d/1MeEWN-I1oV_STSDYn1IFDPWt_1FKiwhDph83XaGc0o0/edit?usp=sharing"",""งบพรบ!BQ32"")"),0)</f>
        <v>0</v>
      </c>
      <c r="N140" s="899">
        <f ca="1">IFERROR(__xludf.DUMMYFUNCTION("IMPORTRANGE(""https://docs.google.com/spreadsheets/d/1MeEWN-I1oV_STSDYn1IFDPWt_1FKiwhDph83XaGc0o0/edit?usp=sharing"",""งบพรบ!BS32"")"),0)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IFERROR(__xludf.DUMMYFUNCTION("IMPORTRANGE(""https://docs.google.com/spreadsheets/d/1QqKyyYR6Q21VydFLVH3TRQUabQu_ym0Zz7PgGX0-kHA/edit?usp=sharing"",""แผน!U32"")"),0)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IFERROR(__xludf.DUMMYFUNCTION("IMPORTRANGE(""https://docs.google.com/spreadsheets/d/1QqKyyYR6Q21VydFLVH3TRQUabQu_ym0Zz7PgGX0-kHA/edit?usp=sharing"",""แผน!V32"")"),0)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IFERROR(__xludf.DUMMYFUNCTION("IMPORTRANGE(""https://docs.google.com/spreadsheets/d/1QqKyyYR6Q21VydFLVH3TRQUabQu_ym0Zz7PgGX0-kHA/edit?usp=sharing"",""แผน!W32"")"),0)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20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22820</v>
      </c>
      <c r="N149" s="1004">
        <f t="shared" ca="1" si="77"/>
        <v>12820</v>
      </c>
      <c r="O149" s="1004">
        <f t="shared" ref="O149:O157" ca="1" si="78">IF(L149&gt;0,N149*100/L149,0)</f>
        <v>128.19999999999999</v>
      </c>
      <c r="P149" s="1004">
        <f t="shared" ref="P149:P157" ca="1" si="79">IF(M149&gt;0,N149*100/M149,0)</f>
        <v>56.178790534618756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22820</v>
      </c>
      <c r="N151" s="899">
        <f t="shared" ca="1" si="80"/>
        <v>12820</v>
      </c>
      <c r="O151" s="899">
        <f t="shared" ca="1" si="78"/>
        <v>128.19999999999999</v>
      </c>
      <c r="P151" s="899">
        <f t="shared" ca="1" si="79"/>
        <v>56.178790534618756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22820</v>
      </c>
      <c r="N152" s="893">
        <f t="shared" ca="1" si="81"/>
        <v>12820</v>
      </c>
      <c r="O152" s="893">
        <f t="shared" ca="1" si="78"/>
        <v>128.19999999999999</v>
      </c>
      <c r="P152" s="893">
        <f t="shared" ca="1" si="79"/>
        <v>56.178790534618756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IFERROR(__xludf.DUMMYFUNCTION("IMPORTRANGE(""https://docs.google.com/spreadsheets/d/1MeEWN-I1oV_STSDYn1IFDPWt_1FKiwhDph83XaGc0o0/edit?usp=sharing"",""งบพรบ!BU32"")"),10000)</f>
        <v>10000</v>
      </c>
      <c r="M154" s="899">
        <f ca="1">IFERROR(__xludf.DUMMYFUNCTION("IMPORTRANGE(""https://docs.google.com/spreadsheets/d/1MeEWN-I1oV_STSDYn1IFDPWt_1FKiwhDph83XaGc0o0/edit?usp=sharing"",""งบพรบ!BZ32"")"),22820)</f>
        <v>22820</v>
      </c>
      <c r="N154" s="899">
        <f ca="1">IFERROR(__xludf.DUMMYFUNCTION("IMPORTRANGE(""https://docs.google.com/spreadsheets/d/1MeEWN-I1oV_STSDYn1IFDPWt_1FKiwhDph83XaGc0o0/edit?usp=sharing"",""งบพรบ!CB32"")"),12820)</f>
        <v>12820</v>
      </c>
      <c r="O154" s="899">
        <f t="shared" ca="1" si="78"/>
        <v>128.19999999999999</v>
      </c>
      <c r="P154" s="899">
        <f t="shared" ca="1" si="79"/>
        <v>56.178790534618756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IFERROR(__xludf.DUMMYFUNCTION("IMPORTRANGE(""https://docs.google.com/spreadsheets/d/1MeEWN-I1oV_STSDYn1IFDPWt_1FKiwhDph83XaGc0o0/edit?usp=sharing"",""งบพรบ!BX32"")"),0)</f>
        <v>0</v>
      </c>
      <c r="M157" s="899">
        <f ca="1">IFERROR(__xludf.DUMMYFUNCTION("IMPORTRANGE(""https://docs.google.com/spreadsheets/d/1MeEWN-I1oV_STSDYn1IFDPWt_1FKiwhDph83XaGc0o0/edit?usp=sharing"",""งบพรบ!CA32"")"),0)</f>
        <v>0</v>
      </c>
      <c r="N157" s="899">
        <f ca="1">IFERROR(__xludf.DUMMYFUNCTION("IMPORTRANGE(""https://docs.google.com/spreadsheets/d/1MeEWN-I1oV_STSDYn1IFDPWt_1FKiwhDph83XaGc0o0/edit?usp=sharing"",""งบพรบ!CC32"")"),0)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IFERROR(__xludf.DUMMYFUNCTION("IMPORTRANGE(""https://docs.google.com/spreadsheets/d/1QqKyyYR6Q21VydFLVH3TRQUabQu_ym0Zz7PgGX0-kHA/edit?usp=sharing"",""แผน!X32"")"),20)</f>
        <v>20</v>
      </c>
      <c r="J159" s="1024">
        <v>20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38300</v>
      </c>
      <c r="N165" s="1004">
        <f t="shared" ca="1" si="84"/>
        <v>38300</v>
      </c>
      <c r="O165" s="1004">
        <f t="shared" ref="O165:O173" ca="1" si="85">IF(L165&gt;0,N165*100/L165,0)</f>
        <v>166.08846487424111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38300</v>
      </c>
      <c r="N167" s="899">
        <f t="shared" ca="1" si="87"/>
        <v>38300</v>
      </c>
      <c r="O167" s="899">
        <f t="shared" ca="1" si="85"/>
        <v>166.08846487424111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38300</v>
      </c>
      <c r="N168" s="893">
        <f t="shared" ca="1" si="88"/>
        <v>38300</v>
      </c>
      <c r="O168" s="893">
        <f t="shared" ca="1" si="85"/>
        <v>166.08846487424111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IFERROR(__xludf.DUMMYFUNCTION("IMPORTRANGE(""https://docs.google.com/spreadsheets/d/1MeEWN-I1oV_STSDYn1IFDPWt_1FKiwhDph83XaGc0o0/edit?usp=sharing"",""งบพรบ!CE32"")"),23060)</f>
        <v>23060</v>
      </c>
      <c r="M170" s="899">
        <f ca="1">IFERROR(__xludf.DUMMYFUNCTION("IMPORTRANGE(""https://docs.google.com/spreadsheets/d/1MeEWN-I1oV_STSDYn1IFDPWt_1FKiwhDph83XaGc0o0/edit?usp=sharing"",""งบพรบ!CJ32"")"),38300)</f>
        <v>38300</v>
      </c>
      <c r="N170" s="899">
        <f ca="1">IFERROR(__xludf.DUMMYFUNCTION("IMPORTRANGE(""https://docs.google.com/spreadsheets/d/1MeEWN-I1oV_STSDYn1IFDPWt_1FKiwhDph83XaGc0o0/edit?usp=sharing"",""งบพรบ!CL32"")"),38300)</f>
        <v>38300</v>
      </c>
      <c r="O170" s="899">
        <f t="shared" ca="1" si="85"/>
        <v>166.08846487424111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IFERROR(__xludf.DUMMYFUNCTION("IMPORTRANGE(""https://docs.google.com/spreadsheets/d/1MeEWN-I1oV_STSDYn1IFDPWt_1FKiwhDph83XaGc0o0/edit?usp=sharing"",""งบพรบ!CH32"")"),0)</f>
        <v>0</v>
      </c>
      <c r="M173" s="899">
        <f ca="1">IFERROR(__xludf.DUMMYFUNCTION("IMPORTRANGE(""https://docs.google.com/spreadsheets/d/1MeEWN-I1oV_STSDYn1IFDPWt_1FKiwhDph83XaGc0o0/edit?usp=sharing"",""งบพรบ!CK32"")"),0)</f>
        <v>0</v>
      </c>
      <c r="N173" s="899">
        <f ca="1">IFERROR(__xludf.DUMMYFUNCTION("IMPORTRANGE(""https://docs.google.com/spreadsheets/d/1MeEWN-I1oV_STSDYn1IFDPWt_1FKiwhDph83XaGc0o0/edit?usp=sharing"",""งบพรบ!CM32"")"),0)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IFERROR(__xludf.DUMMYFUNCTION("IMPORTRANGE(""https://docs.google.com/spreadsheets/d/1QqKyyYR6Q21VydFLVH3TRQUabQu_ym0Zz7PgGX0-kHA/edit?usp=sharing"",""แผน!Y32"")"),12)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67900</v>
      </c>
      <c r="M181" s="1004">
        <f t="shared" ca="1" si="92"/>
        <v>48500</v>
      </c>
      <c r="N181" s="1004">
        <f t="shared" ca="1" si="92"/>
        <v>26288</v>
      </c>
      <c r="O181" s="1004">
        <f t="shared" ref="O181:O189" ca="1" si="93">IF(L181&gt;0,N181*100/L181,0)</f>
        <v>38.715758468335785</v>
      </c>
      <c r="P181" s="1004">
        <f t="shared" ref="P181:P189" ca="1" si="94">IF(M181&gt;0,N181*100/M181,0)</f>
        <v>54.202061855670102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67900</v>
      </c>
      <c r="M183" s="899">
        <f t="shared" ca="1" si="95"/>
        <v>48500</v>
      </c>
      <c r="N183" s="899">
        <f t="shared" ca="1" si="95"/>
        <v>26288</v>
      </c>
      <c r="O183" s="899">
        <f t="shared" ca="1" si="93"/>
        <v>38.715758468335785</v>
      </c>
      <c r="P183" s="899">
        <f t="shared" ca="1" si="94"/>
        <v>54.202061855670102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67900</v>
      </c>
      <c r="M184" s="893">
        <f t="shared" ca="1" si="96"/>
        <v>48500</v>
      </c>
      <c r="N184" s="893">
        <f t="shared" ca="1" si="96"/>
        <v>26288</v>
      </c>
      <c r="O184" s="893">
        <f t="shared" ca="1" si="93"/>
        <v>38.715758468335785</v>
      </c>
      <c r="P184" s="893">
        <f t="shared" ca="1" si="94"/>
        <v>54.202061855670102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IFERROR(__xludf.DUMMYFUNCTION("IMPORTRANGE(""https://docs.google.com/spreadsheets/d/1MeEWN-I1oV_STSDYn1IFDPWt_1FKiwhDph83XaGc0o0/edit?usp=sharing"",""งบพรบ!CO32"")"),67900)</f>
        <v>67900</v>
      </c>
      <c r="M186" s="899">
        <f ca="1">IFERROR(__xludf.DUMMYFUNCTION("IMPORTRANGE(""https://docs.google.com/spreadsheets/d/1MeEWN-I1oV_STSDYn1IFDPWt_1FKiwhDph83XaGc0o0/edit?usp=sharing"",""งบพรบ!CT32"")"),48500)</f>
        <v>48500</v>
      </c>
      <c r="N186" s="899">
        <f ca="1">IFERROR(__xludf.DUMMYFUNCTION("IMPORTRANGE(""https://docs.google.com/spreadsheets/d/1MeEWN-I1oV_STSDYn1IFDPWt_1FKiwhDph83XaGc0o0/edit?usp=sharing"",""งบพรบ!CV32"")"),26288)</f>
        <v>26288</v>
      </c>
      <c r="O186" s="899">
        <f t="shared" ca="1" si="93"/>
        <v>38.715758468335785</v>
      </c>
      <c r="P186" s="899">
        <f t="shared" ca="1" si="94"/>
        <v>54.202061855670102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IFERROR(__xludf.DUMMYFUNCTION("IMPORTRANGE(""https://docs.google.com/spreadsheets/d/1MeEWN-I1oV_STSDYn1IFDPWt_1FKiwhDph83XaGc0o0/edit?usp=sharing"",""งบพรบ!CR32"")"),0)</f>
        <v>0</v>
      </c>
      <c r="M189" s="899">
        <f ca="1">IFERROR(__xludf.DUMMYFUNCTION("IMPORTRANGE(""https://docs.google.com/spreadsheets/d/1MeEWN-I1oV_STSDYn1IFDPWt_1FKiwhDph83XaGc0o0/edit?usp=sharing"",""งบพรบ!CU32"")"),0)</f>
        <v>0</v>
      </c>
      <c r="N189" s="899">
        <f ca="1">IFERROR(__xludf.DUMMYFUNCTION("IMPORTRANGE(""https://docs.google.com/spreadsheets/d/1MeEWN-I1oV_STSDYn1IFDPWt_1FKiwhDph83XaGc0o0/edit?usp=sharing"",""งบพรบ!CW32"")"),0)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IFERROR(__xludf.DUMMYFUNCTION("IMPORTRANGE(""https://docs.google.com/spreadsheets/d/1QqKyyYR6Q21VydFLVH3TRQUabQu_ym0Zz7PgGX0-kHA/edit?usp=sharing"",""แผน!Z32"")"),6000)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IFERROR(__xludf.DUMMYFUNCTION("IMPORTRANGE(""https://docs.google.com/spreadsheets/d/1QqKyyYR6Q21VydFLVH3TRQUabQu_ym0Zz7PgGX0-kHA/edit?usp=sharing"",""แผน!AC32"")"),4)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66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66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26288</v>
      </c>
      <c r="O198" s="1004">
        <f ca="1">IF(L198&gt;0,N198*100/L198,0)</f>
        <v>67.405128205128207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IFERROR(__xludf.DUMMYFUNCTION("IMPORTRANGE(""https://docs.google.com/spreadsheets/d/1QqKyyYR6Q21VydFLVH3TRQUabQu_ym0Zz7PgGX0-kHA/edit?usp=sharing"",""แผน!AE32"")"),3000)</f>
        <v>3000</v>
      </c>
      <c r="M199" s="893"/>
      <c r="N199" s="1096">
        <v>2288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IFERROR(__xludf.DUMMYFUNCTION("IMPORTRANGE(""https://docs.google.com/spreadsheets/d/1QqKyyYR6Q21VydFLVH3TRQUabQu_ym0Zz7PgGX0-kHA/edit?usp=sharing"",""แผน!AF32"")"),24000)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IFERROR(__xludf.DUMMYFUNCTION("IMPORTRANGE(""https://docs.google.com/spreadsheets/d/1QqKyyYR6Q21VydFLVH3TRQUabQu_ym0Zz7PgGX0-kHA/edit?usp=sharing"",""แผน!AG32"")"),12000)</f>
        <v>12000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IFERROR(__xludf.DUMMYFUNCTION("IMPORTRANGE(""https://docs.google.com/spreadsheets/d/1QqKyyYR6Q21VydFLVH3TRQUabQu_ym0Zz7PgGX0-kHA/edit?usp=sharing"",""แผน!AH32"")"),0)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IFERROR(__xludf.DUMMYFUNCTION("IMPORTRANGE(""https://docs.google.com/spreadsheets/d/1QqKyyYR6Q21VydFLVH3TRQUabQu_ym0Zz7PgGX0-kHA/edit?usp=sharing"",""แผน!AI32"")"),3)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IFERROR(__xludf.DUMMYFUNCTION("IMPORTRANGE(""https://docs.google.com/spreadsheets/d/1QqKyyYR6Q21VydFLVH3TRQUabQu_ym0Zz7PgGX0-kHA/edit?usp=sharing"",""แผน!AK32"")"),0)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IFERROR(__xludf.DUMMYFUNCTION("IMPORTRANGE(""https://docs.google.com/spreadsheets/d/1QqKyyYR6Q21VydFLVH3TRQUabQu_ym0Zz7PgGX0-kHA/edit?usp=sharing"",""แผน!AL32"")"),0)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IFERROR(__xludf.DUMMYFUNCTION("IMPORTRANGE(""https://docs.google.com/spreadsheets/d/1QqKyyYR6Q21VydFLVH3TRQUabQu_ym0Zz7PgGX0-kHA/edit?usp=sharing"",""แผน!AM32"")"),0)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IFERROR(__xludf.DUMMYFUNCTION("IMPORTRANGE(""https://docs.google.com/spreadsheets/d/1QqKyyYR6Q21VydFLVH3TRQUabQu_ym0Zz7PgGX0-kHA/edit?usp=sharing"",""แผน!AN32"")"),0)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IFERROR(__xludf.DUMMYFUNCTION("IMPORTRANGE(""https://docs.google.com/spreadsheets/d/1QqKyyYR6Q21VydFLVH3TRQUabQu_ym0Zz7PgGX0-kHA/edit?usp=sharing"",""แผน!AN32"")"),0)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65000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22900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IFERROR(__xludf.DUMMYFUNCTION("IMPORTRANGE(""https://docs.google.com/spreadsheets/d/1QqKyyYR6Q21VydFLVH3TRQUabQu_ym0Zz7PgGX0-kHA/edit?usp=sharing"",""แผน!AP32"")"),5000)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IFERROR(__xludf.DUMMYFUNCTION("IMPORTRANGE(""https://docs.google.com/spreadsheets/d/1QqKyyYR6Q21VydFLVH3TRQUabQu_ym0Zz7PgGX0-kHA/edit?usp=sharing"",""แผน!AQ32"")"),17900)</f>
        <v>17900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IFERROR(__xludf.DUMMYFUNCTION("IMPORTRANGE(""https://docs.google.com/spreadsheets/d/1QqKyyYR6Q21VydFLVH3TRQUabQu_ym0Zz7PgGX0-kHA/edit?usp=sharing"",""แผน!AR32"")"),0)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IFERROR(__xludf.DUMMYFUNCTION("IMPORTRANGE(""https://docs.google.com/spreadsheets/d/1QqKyyYR6Q21VydFLVH3TRQUabQu_ym0Zz7PgGX0-kHA/edit?usp=sharing"",""แผน!AT32"")"),65000)</f>
        <v>65000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IFERROR(__xludf.DUMMYFUNCTION("IMPORTRANGE(""https://docs.google.com/spreadsheets/d/1QqKyyYR6Q21VydFLVH3TRQUabQu_ym0Zz7PgGX0-kHA/edit?usp=sharing"",""แผน!AT32"")"),65000)</f>
        <v>65000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IFERROR(__xludf.DUMMYFUNCTION("IMPORTRANGE(""https://docs.google.com/spreadsheets/d/1QqKyyYR6Q21VydFLVH3TRQUabQu_ym0Zz7PgGX0-kHA/edit?usp=sharing"",""แผน!AS32"")"),0)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IFERROR(__xludf.DUMMYFUNCTION("IMPORTRANGE(""https://docs.google.com/spreadsheets/d/1QqKyyYR6Q21VydFLVH3TRQUabQu_ym0Zz7PgGX0-kHA/edit?usp=sharing"",""แผน!AV32"")"),0)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IFERROR(__xludf.DUMMYFUNCTION("IMPORTRANGE(""https://docs.google.com/spreadsheets/d/1QqKyyYR6Q21VydFLVH3TRQUabQu_ym0Zz7PgGX0-kHA/edit?usp=sharing"",""แผน!AW32"")"),0)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IFERROR(__xludf.DUMMYFUNCTION("IMPORTRANGE(""https://docs.google.com/spreadsheets/d/1QqKyyYR6Q21VydFLVH3TRQUabQu_ym0Zz7PgGX0-kHA/edit?usp=sharing"",""แผน!AX32"")"),0)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IFERROR(__xludf.DUMMYFUNCTION("IMPORTRANGE(""https://docs.google.com/spreadsheets/d/1QqKyyYR6Q21VydFLVH3TRQUabQu_ym0Zz7PgGX0-kHA/edit?usp=sharing"",""แผน!AY32"")"),0)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IFERROR(__xludf.DUMMYFUNCTION("IMPORTRANGE(""https://docs.google.com/spreadsheets/d/1QqKyyYR6Q21VydFLVH3TRQUabQu_ym0Zz7PgGX0-kHA/edit?usp=sharing"",""แผน!BE32"")"),0)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IFERROR(__xludf.DUMMYFUNCTION("IMPORTRANGE(""https://docs.google.com/spreadsheets/d/1QqKyyYR6Q21VydFLVH3TRQUabQu_ym0Zz7PgGX0-kHA/edit?usp=sharing"",""แผน!AZ32"")"),0)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IFERROR(__xludf.DUMMYFUNCTION("IMPORTRANGE(""https://docs.google.com/spreadsheets/d/1QqKyyYR6Q21VydFLVH3TRQUabQu_ym0Zz7PgGX0-kHA/edit?usp=sharing"",""แผน!BA32"")"),0)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IFERROR(__xludf.DUMMYFUNCTION("IMPORTRANGE(""https://docs.google.com/spreadsheets/d/1QqKyyYR6Q21VydFLVH3TRQUabQu_ym0Zz7PgGX0-kHA/edit?usp=sharing"",""แผน!BB32"")"),0)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IFERROR(__xludf.DUMMYFUNCTION("IMPORTRANGE(""https://docs.google.com/spreadsheets/d/1QqKyyYR6Q21VydFLVH3TRQUabQu_ym0Zz7PgGX0-kHA/edit?usp=sharing"",""แผน!BC32"")"),0)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IFERROR(__xludf.DUMMYFUNCTION("IMPORTRANGE(""https://docs.google.com/spreadsheets/d/1QqKyyYR6Q21VydFLVH3TRQUabQu_ym0Zz7PgGX0-kHA/edit?usp=sharing"",""แผน!BF32"")"),0)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20</v>
      </c>
      <c r="J260" s="1073">
        <f t="shared" si="115"/>
        <v>20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25000</v>
      </c>
      <c r="M261" s="1004">
        <f t="shared" ca="1" si="116"/>
        <v>22000</v>
      </c>
      <c r="N261" s="1004">
        <f t="shared" ca="1" si="116"/>
        <v>20780</v>
      </c>
      <c r="O261" s="1004">
        <f t="shared" ref="O261:O269" ca="1" si="117">IF(L261&gt;0,N261*100/L261,0)</f>
        <v>83.12</v>
      </c>
      <c r="P261" s="1004">
        <f t="shared" ref="P261:P269" ca="1" si="118">IF(M261&gt;0,N261*100/M261,0)</f>
        <v>94.454545454545453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25000</v>
      </c>
      <c r="M263" s="899">
        <f t="shared" ca="1" si="119"/>
        <v>22000</v>
      </c>
      <c r="N263" s="899">
        <f t="shared" ca="1" si="119"/>
        <v>20780</v>
      </c>
      <c r="O263" s="899">
        <f t="shared" ca="1" si="117"/>
        <v>83.12</v>
      </c>
      <c r="P263" s="899">
        <f t="shared" ca="1" si="118"/>
        <v>94.454545454545453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25000</v>
      </c>
      <c r="M264" s="893">
        <f t="shared" ca="1" si="120"/>
        <v>22000</v>
      </c>
      <c r="N264" s="893">
        <f t="shared" ca="1" si="120"/>
        <v>20780</v>
      </c>
      <c r="O264" s="893">
        <f t="shared" ca="1" si="117"/>
        <v>83.12</v>
      </c>
      <c r="P264" s="893">
        <f t="shared" ca="1" si="118"/>
        <v>94.454545454545453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IFERROR(__xludf.DUMMYFUNCTION("IMPORTRANGE(""https://docs.google.com/spreadsheets/d/1MeEWN-I1oV_STSDYn1IFDPWt_1FKiwhDph83XaGc0o0/edit?usp=sharing"",""งบพรบ!CY32"")"),25000)</f>
        <v>25000</v>
      </c>
      <c r="M266" s="899">
        <f ca="1">IFERROR(__xludf.DUMMYFUNCTION("IMPORTRANGE(""https://docs.google.com/spreadsheets/d/1MeEWN-I1oV_STSDYn1IFDPWt_1FKiwhDph83XaGc0o0/edit?usp=sharing"",""งบพรบ!DD32"")"),22000)</f>
        <v>22000</v>
      </c>
      <c r="N266" s="899">
        <f ca="1">IFERROR(__xludf.DUMMYFUNCTION("IMPORTRANGE(""https://docs.google.com/spreadsheets/d/1MeEWN-I1oV_STSDYn1IFDPWt_1FKiwhDph83XaGc0o0/edit?usp=sharing"",""งบพรบ!DF32"")"),20780)</f>
        <v>20780</v>
      </c>
      <c r="O266" s="899">
        <f t="shared" ca="1" si="117"/>
        <v>83.12</v>
      </c>
      <c r="P266" s="899">
        <f t="shared" ca="1" si="118"/>
        <v>94.454545454545453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IFERROR(__xludf.DUMMYFUNCTION("IMPORTRANGE(""https://docs.google.com/spreadsheets/d/1MeEWN-I1oV_STSDYn1IFDPWt_1FKiwhDph83XaGc0o0/edit?usp=sharing"",""งบพรบ!DB32"")"),0)</f>
        <v>0</v>
      </c>
      <c r="M269" s="899">
        <f ca="1">IFERROR(__xludf.DUMMYFUNCTION("IMPORTRANGE(""https://docs.google.com/spreadsheets/d/1MeEWN-I1oV_STSDYn1IFDPWt_1FKiwhDph83XaGc0o0/edit?usp=sharing"",""งบพรบ!DE32"")"),0)</f>
        <v>0</v>
      </c>
      <c r="N269" s="899">
        <f ca="1">IFERROR(__xludf.DUMMYFUNCTION("IMPORTRANGE(""https://docs.google.com/spreadsheets/d/1MeEWN-I1oV_STSDYn1IFDPWt_1FKiwhDph83XaGc0o0/edit?usp=sharing"",""งบพรบ!DG32"")"),0)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IFERROR(__xludf.DUMMYFUNCTION("IMPORTRANGE(""https://docs.google.com/spreadsheets/d/1QqKyyYR6Q21VydFLVH3TRQUabQu_ym0Zz7PgGX0-kHA/edit?usp=sharing"",""แผน!EA32"")"),20)</f>
        <v>20</v>
      </c>
      <c r="J271" s="1024">
        <v>20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25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250</v>
      </c>
      <c r="J276" s="1173">
        <f t="shared" si="124"/>
        <v>250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259920</v>
      </c>
      <c r="M277" s="1004">
        <f t="shared" ca="1" si="125"/>
        <v>170820</v>
      </c>
      <c r="N277" s="1004">
        <f t="shared" ca="1" si="125"/>
        <v>170658.51</v>
      </c>
      <c r="O277" s="1004">
        <f t="shared" ref="O277:O285" ca="1" si="126">IF(L277&gt;0,N277*100/L277,0)</f>
        <v>65.658090951061865</v>
      </c>
      <c r="P277" s="1004">
        <f t="shared" ref="P277:P285" ca="1" si="127">IF(M277&gt;0,N277*100/M277,0)</f>
        <v>99.905461889708462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259920</v>
      </c>
      <c r="M279" s="899">
        <f t="shared" ca="1" si="128"/>
        <v>170820</v>
      </c>
      <c r="N279" s="899">
        <f t="shared" ca="1" si="128"/>
        <v>170658.51</v>
      </c>
      <c r="O279" s="899">
        <f t="shared" ca="1" si="126"/>
        <v>65.658090951061865</v>
      </c>
      <c r="P279" s="899">
        <f t="shared" ca="1" si="127"/>
        <v>99.905461889708462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259920</v>
      </c>
      <c r="M280" s="893">
        <f t="shared" ca="1" si="129"/>
        <v>170820</v>
      </c>
      <c r="N280" s="893">
        <f t="shared" ca="1" si="129"/>
        <v>170658.51</v>
      </c>
      <c r="O280" s="893">
        <f t="shared" ca="1" si="126"/>
        <v>65.658090951061865</v>
      </c>
      <c r="P280" s="893">
        <f t="shared" ca="1" si="127"/>
        <v>99.905461889708462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IFERROR(__xludf.DUMMYFUNCTION("IMPORTRANGE(""https://docs.google.com/spreadsheets/d/1MeEWN-I1oV_STSDYn1IFDPWt_1FKiwhDph83XaGc0o0/edit?usp=sharing"",""งบพรบ!DI32"")"),259920)</f>
        <v>259920</v>
      </c>
      <c r="M282" s="899">
        <f ca="1">IFERROR(__xludf.DUMMYFUNCTION("IMPORTRANGE(""https://docs.google.com/spreadsheets/d/1MeEWN-I1oV_STSDYn1IFDPWt_1FKiwhDph83XaGc0o0/edit?usp=sharing"",""งบพรบ!DN32"")"),170820)</f>
        <v>170820</v>
      </c>
      <c r="N282" s="899">
        <f ca="1">IFERROR(__xludf.DUMMYFUNCTION("IMPORTRANGE(""https://docs.google.com/spreadsheets/d/1MeEWN-I1oV_STSDYn1IFDPWt_1FKiwhDph83XaGc0o0/edit?usp=sharing"",""งบพรบ!DP32"")"),170658.51)</f>
        <v>170658.51</v>
      </c>
      <c r="O282" s="899">
        <f t="shared" ca="1" si="126"/>
        <v>65.658090951061865</v>
      </c>
      <c r="P282" s="899">
        <f t="shared" ca="1" si="127"/>
        <v>99.905461889708462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IFERROR(__xludf.DUMMYFUNCTION("IMPORTRANGE(""https://docs.google.com/spreadsheets/d/1MeEWN-I1oV_STSDYn1IFDPWt_1FKiwhDph83XaGc0o0/edit?usp=sharing"",""งบพรบ!DL32"")"),0)</f>
        <v>0</v>
      </c>
      <c r="M285" s="899">
        <f ca="1">IFERROR(__xludf.DUMMYFUNCTION("IMPORTRANGE(""https://docs.google.com/spreadsheets/d/1MeEWN-I1oV_STSDYn1IFDPWt_1FKiwhDph83XaGc0o0/edit?usp=sharing"",""งบพรบ!DO32"")"),0)</f>
        <v>0</v>
      </c>
      <c r="N285" s="899">
        <f ca="1">IFERROR(__xludf.DUMMYFUNCTION("IMPORTRANGE(""https://docs.google.com/spreadsheets/d/1MeEWN-I1oV_STSDYn1IFDPWt_1FKiwhDph83XaGc0o0/edit?usp=sharing"",""งบพรบ!DQ32"")"),0)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IFERROR(__xludf.DUMMYFUNCTION("IMPORTRANGE(""https://docs.google.com/spreadsheets/d/1QqKyyYR6Q21VydFLVH3TRQUabQu_ym0Zz7PgGX0-kHA/edit?usp=sharing"",""แผน!EC32"")"),250)</f>
        <v>250</v>
      </c>
      <c r="J287" s="1024">
        <v>250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IFERROR(__xludf.DUMMYFUNCTION("IMPORTRANGE(""https://docs.google.com/spreadsheets/d/1QqKyyYR6Q21VydFLVH3TRQUabQu_ym0Zz7PgGX0-kHA/edit?usp=sharing"",""แผน!EB32"")"),25)</f>
        <v>25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IFERROR(__xludf.DUMMYFUNCTION("IMPORTRANGE(""https://docs.google.com/spreadsheets/d/1QqKyyYR6Q21VydFLVH3TRQUabQu_ym0Zz7PgGX0-kHA/edit?usp=sharing"",""แผน!EB32"")"),25)</f>
        <v>25</v>
      </c>
      <c r="J290" s="1024">
        <v>25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8.75">
      <c r="A291" s="1014"/>
      <c r="B291" s="1015"/>
      <c r="C291" s="1015"/>
      <c r="D291" s="1022"/>
      <c r="E291" s="1026" t="s">
        <v>334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IFERROR(__xludf.DUMMYFUNCTION("IMPORTRANGE(""https://docs.google.com/spreadsheets/d/1QqKyyYR6Q21VydFLVH3TRQUabQu_ym0Zz7PgGX0-kHA/edit?usp=sharing"",""แผน!EB32"")"),25)</f>
        <v>25</v>
      </c>
      <c r="J291" s="1024">
        <v>25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IFERROR(__xludf.DUMMYFUNCTION("IMPORTRANGE(""https://docs.google.com/spreadsheets/d/1QqKyyYR6Q21VydFLVH3TRQUabQu_ym0Zz7PgGX0-kHA/edit?usp=sharing"",""แผน!EB32"")"),25)</f>
        <v>25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8.75">
      <c r="A294" s="1144"/>
      <c r="B294" s="1145"/>
      <c r="C294" s="1145"/>
      <c r="D294" s="1147"/>
      <c r="E294" s="1181" t="s">
        <v>335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IFERROR(__xludf.DUMMYFUNCTION("IMPORTRANGE(""https://docs.google.com/spreadsheets/d/1QqKyyYR6Q21VydFLVH3TRQUabQu_ym0Zz7PgGX0-kHA/edit?usp=sharing"",""แผน!EB32"")"),25)</f>
        <v>25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IFERROR(__xludf.DUMMYFUNCTION("IMPORTRANGE(""https://docs.google.com/spreadsheets/d/1MeEWN-I1oV_STSDYn1IFDPWt_1FKiwhDph83XaGc0o0/edit?usp=sharing"",""งบพรบ!DS32"")"),0)</f>
        <v>0</v>
      </c>
      <c r="M303" s="899">
        <f ca="1">IFERROR(__xludf.DUMMYFUNCTION("IMPORTRANGE(""https://docs.google.com/spreadsheets/d/1MeEWN-I1oV_STSDYn1IFDPWt_1FKiwhDph83XaGc0o0/edit?usp=sharing"",""งบพรบ!DX32"")"),0)</f>
        <v>0</v>
      </c>
      <c r="N303" s="899">
        <f ca="1">IFERROR(__xludf.DUMMYFUNCTION("IMPORTRANGE(""https://docs.google.com/spreadsheets/d/1MeEWN-I1oV_STSDYn1IFDPWt_1FKiwhDph83XaGc0o0/edit?usp=sharing"",""งบพรบ!DZ32"")"),0)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IFERROR(__xludf.DUMMYFUNCTION("IMPORTRANGE(""https://docs.google.com/spreadsheets/d/1MeEWN-I1oV_STSDYn1IFDPWt_1FKiwhDph83XaGc0o0/edit?usp=sharing"",""งบพรบ!DV32"")"),0)</f>
        <v>0</v>
      </c>
      <c r="M306" s="899">
        <f ca="1">IFERROR(__xludf.DUMMYFUNCTION("IMPORTRANGE(""https://docs.google.com/spreadsheets/d/1MeEWN-I1oV_STSDYn1IFDPWt_1FKiwhDph83XaGc0o0/edit?usp=sharing"",""งบพรบ!DY32"")"),0)</f>
        <v>0</v>
      </c>
      <c r="N306" s="899">
        <f ca="1">IFERROR(__xludf.DUMMYFUNCTION("IMPORTRANGE(""https://docs.google.com/spreadsheets/d/1MeEWN-I1oV_STSDYn1IFDPWt_1FKiwhDph83XaGc0o0/edit?usp=sharing"",""งบพรบ!EA32"")"),0)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IFERROR(__xludf.DUMMYFUNCTION("IMPORTRANGE(""https://docs.google.com/spreadsheets/d/1QqKyyYR6Q21VydFLVH3TRQUabQu_ym0Zz7PgGX0-kHA/edit?usp=sharing"",""แผน!ED32"")"),0)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IFERROR(__xludf.DUMMYFUNCTION("IMPORTRANGE(""https://docs.google.com/spreadsheets/d/1QqKyyYR6Q21VydFLVH3TRQUabQu_ym0Zz7PgGX0-kHA/edit?usp=sharing"",""แผน!ED32"")"),0)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IFERROR(__xludf.DUMMYFUNCTION("IMPORTRANGE(""https://docs.google.com/spreadsheets/d/1QqKyyYR6Q21VydFLVH3TRQUabQu_ym0Zz7PgGX0-kHA/edit?usp=sharing"",""แผน!ED32"")"),0)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IFERROR(__xludf.DUMMYFUNCTION("IMPORTRANGE(""https://docs.google.com/spreadsheets/d/1QqKyyYR6Q21VydFLVH3TRQUabQu_ym0Zz7PgGX0-kHA/edit?usp=sharing"",""แผน!EE32"")"),0)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1</v>
      </c>
      <c r="J314" s="1202">
        <f t="shared" si="142"/>
        <v>1</v>
      </c>
      <c r="K314" s="1203">
        <f ca="1">IF(I314&gt;0,J314*100/I314,0)</f>
        <v>100</v>
      </c>
      <c r="L314" s="1204"/>
      <c r="M314" s="1204"/>
      <c r="N314" s="1204"/>
      <c r="O314" s="1204"/>
      <c r="P314" s="1204"/>
    </row>
    <row r="315" spans="1:26" ht="19.5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439000</v>
      </c>
      <c r="M315" s="1004">
        <f t="shared" ca="1" si="143"/>
        <v>322500</v>
      </c>
      <c r="N315" s="1004">
        <f t="shared" ca="1" si="143"/>
        <v>187258.75</v>
      </c>
      <c r="O315" s="1004">
        <f t="shared" ref="O315:O323" ca="1" si="144">IF(L315&gt;0,N315*100/L315,0)</f>
        <v>42.655751708428248</v>
      </c>
      <c r="P315" s="1004">
        <f t="shared" ref="P315:P323" ca="1" si="145">IF(M315&gt;0,N315*100/M315,0)</f>
        <v>58.064728682170539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439000</v>
      </c>
      <c r="M317" s="899">
        <f t="shared" ca="1" si="146"/>
        <v>322500</v>
      </c>
      <c r="N317" s="899">
        <f t="shared" ca="1" si="146"/>
        <v>187258.75</v>
      </c>
      <c r="O317" s="899">
        <f t="shared" ca="1" si="144"/>
        <v>42.655751708428248</v>
      </c>
      <c r="P317" s="899">
        <f t="shared" ca="1" si="145"/>
        <v>58.064728682170539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439000</v>
      </c>
      <c r="M318" s="893">
        <f t="shared" ca="1" si="147"/>
        <v>322500</v>
      </c>
      <c r="N318" s="893">
        <f t="shared" ca="1" si="147"/>
        <v>187258.75</v>
      </c>
      <c r="O318" s="893">
        <f t="shared" ca="1" si="144"/>
        <v>42.655751708428248</v>
      </c>
      <c r="P318" s="893">
        <f t="shared" ca="1" si="145"/>
        <v>58.064728682170539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IFERROR(__xludf.DUMMYFUNCTION("IMPORTRANGE(""https://docs.google.com/spreadsheets/d/1MeEWN-I1oV_STSDYn1IFDPWt_1FKiwhDph83XaGc0o0/edit?usp=sharing"",""งบพรบ!EC32"")"),439000)</f>
        <v>439000</v>
      </c>
      <c r="M320" s="899">
        <f ca="1">IFERROR(__xludf.DUMMYFUNCTION("IMPORTRANGE(""https://docs.google.com/spreadsheets/d/1MeEWN-I1oV_STSDYn1IFDPWt_1FKiwhDph83XaGc0o0/edit?usp=sharing"",""งบพรบ!EH32"")"),322500)</f>
        <v>322500</v>
      </c>
      <c r="N320" s="899">
        <f ca="1">IFERROR(__xludf.DUMMYFUNCTION("IMPORTRANGE(""https://docs.google.com/spreadsheets/d/1MeEWN-I1oV_STSDYn1IFDPWt_1FKiwhDph83XaGc0o0/edit?usp=sharing"",""งบพรบ!EJ32"")"),187258.75)</f>
        <v>187258.75</v>
      </c>
      <c r="O320" s="899">
        <f t="shared" ca="1" si="144"/>
        <v>42.655751708428248</v>
      </c>
      <c r="P320" s="899">
        <f t="shared" ca="1" si="145"/>
        <v>58.064728682170539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IFERROR(__xludf.DUMMYFUNCTION("IMPORTRANGE(""https://docs.google.com/spreadsheets/d/1MeEWN-I1oV_STSDYn1IFDPWt_1FKiwhDph83XaGc0o0/edit?usp=sharing"",""งบพรบ!EF32"")"),0)</f>
        <v>0</v>
      </c>
      <c r="M323" s="899">
        <f ca="1">IFERROR(__xludf.DUMMYFUNCTION("IMPORTRANGE(""https://docs.google.com/spreadsheets/d/1MeEWN-I1oV_STSDYn1IFDPWt_1FKiwhDph83XaGc0o0/edit?usp=sharing"",""งบพรบ!EI32"")"),0)</f>
        <v>0</v>
      </c>
      <c r="N323" s="899">
        <f ca="1">IFERROR(__xludf.DUMMYFUNCTION("IMPORTRANGE(""https://docs.google.com/spreadsheets/d/1MeEWN-I1oV_STSDYn1IFDPWt_1FKiwhDph83XaGc0o0/edit?usp=sharing"",""งบพรบ!EK32"")"),0)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IFERROR(__xludf.DUMMYFUNCTION("IMPORTRANGE(""https://docs.google.com/spreadsheets/d/1QqKyyYR6Q21VydFLVH3TRQUabQu_ym0Zz7PgGX0-kHA/edit?usp=sharing"",""แผน!EF32"")"),1)</f>
        <v>1</v>
      </c>
      <c r="J325" s="1024">
        <v>1</v>
      </c>
      <c r="K325" s="893">
        <f ca="1">IF(I325&gt;0,J325*100/I325,0)</f>
        <v>100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IFERROR(__xludf.DUMMYFUNCTION("IMPORTRANGE(""https://docs.google.com/spreadsheets/d/1QqKyyYR6Q21VydFLVH3TRQUabQu_ym0Zz7PgGX0-kHA/edit?usp=sharing"",""แผน!EG32"")"),1800)</f>
        <v>1800</v>
      </c>
      <c r="J327" s="1202">
        <f ca="1">J338+J341+J342+J343</f>
        <v>2149</v>
      </c>
      <c r="K327" s="1203">
        <f ca="1">IF(I327&gt;0,J327*100/I327,0)</f>
        <v>119.38888888888889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174000</v>
      </c>
      <c r="M328" s="1004">
        <f t="shared" ca="1" si="149"/>
        <v>133000</v>
      </c>
      <c r="N328" s="1004">
        <f t="shared" ca="1" si="149"/>
        <v>84052.74</v>
      </c>
      <c r="O328" s="1004">
        <f t="shared" ref="O328:O336" ca="1" si="150">IF(L328&gt;0,N328*100/L328,0)</f>
        <v>48.306172413793107</v>
      </c>
      <c r="P328" s="1004">
        <f t="shared" ref="P328:P336" ca="1" si="151">IF(M328&gt;0,N328*100/M328,0)</f>
        <v>63.197548872180448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174000</v>
      </c>
      <c r="M330" s="899">
        <f t="shared" ca="1" si="152"/>
        <v>133000</v>
      </c>
      <c r="N330" s="899">
        <f t="shared" ca="1" si="152"/>
        <v>84052.74</v>
      </c>
      <c r="O330" s="899">
        <f t="shared" ca="1" si="150"/>
        <v>48.306172413793107</v>
      </c>
      <c r="P330" s="899">
        <f t="shared" ca="1" si="151"/>
        <v>63.197548872180448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174000</v>
      </c>
      <c r="M331" s="893">
        <f t="shared" ca="1" si="153"/>
        <v>133000</v>
      </c>
      <c r="N331" s="893">
        <f t="shared" ca="1" si="153"/>
        <v>84052.74</v>
      </c>
      <c r="O331" s="893">
        <f t="shared" ca="1" si="150"/>
        <v>48.306172413793107</v>
      </c>
      <c r="P331" s="893">
        <f t="shared" ca="1" si="151"/>
        <v>63.197548872180448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IFERROR(__xludf.DUMMYFUNCTION("IMPORTRANGE(""https://docs.google.com/spreadsheets/d/1MeEWN-I1oV_STSDYn1IFDPWt_1FKiwhDph83XaGc0o0/edit?usp=sharing"",""งบพรบ!EM32"")"),174000)</f>
        <v>174000</v>
      </c>
      <c r="M333" s="899">
        <f ca="1">IFERROR(__xludf.DUMMYFUNCTION("IMPORTRANGE(""https://docs.google.com/spreadsheets/d/1MeEWN-I1oV_STSDYn1IFDPWt_1FKiwhDph83XaGc0o0/edit?usp=sharing"",""งบพรบ!ER32"")"),133000)</f>
        <v>133000</v>
      </c>
      <c r="N333" s="899">
        <f ca="1">IFERROR(__xludf.DUMMYFUNCTION("IMPORTRANGE(""https://docs.google.com/spreadsheets/d/1MeEWN-I1oV_STSDYn1IFDPWt_1FKiwhDph83XaGc0o0/edit?usp=sharing"",""งบพรบ!ET32"")"),84052.74)</f>
        <v>84052.74</v>
      </c>
      <c r="O333" s="899">
        <f t="shared" ca="1" si="150"/>
        <v>48.306172413793107</v>
      </c>
      <c r="P333" s="899">
        <f t="shared" ca="1" si="151"/>
        <v>63.197548872180448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IFERROR(__xludf.DUMMYFUNCTION("IMPORTRANGE(""https://docs.google.com/spreadsheets/d/1MeEWN-I1oV_STSDYn1IFDPWt_1FKiwhDph83XaGc0o0/edit?usp=sharing"",""งบพรบ!EP32"")"),0)</f>
        <v>0</v>
      </c>
      <c r="M336" s="899">
        <f ca="1">IFERROR(__xludf.DUMMYFUNCTION("IMPORTRANGE(""https://docs.google.com/spreadsheets/d/1MeEWN-I1oV_STSDYn1IFDPWt_1FKiwhDph83XaGc0o0/edit?usp=sharing"",""งบพรบ!ES32"")"),0)</f>
        <v>0</v>
      </c>
      <c r="N336" s="899">
        <f ca="1">IFERROR(__xludf.DUMMYFUNCTION("IMPORTRANGE(""https://docs.google.com/spreadsheets/d/1MeEWN-I1oV_STSDYn1IFDPWt_1FKiwhDph83XaGc0o0/edit?usp=sharing"",""งบพรบ!EU32"")"),0)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IFERROR(__xludf.DUMMYFUNCTION("IMPORTRANGE(""https://docs.google.com/spreadsheets/d/1QqKyyYR6Q21VydFLVH3TRQUabQu_ym0Zz7PgGX0-kHA/edit?usp=sharing"",""แผน!EG32"")"),1800)</f>
        <v>1800</v>
      </c>
      <c r="J338" s="892">
        <f ca="1">IFERROR(__xludf.DUMMYFUNCTION("IMPORTRANGE(""https://docs.google.com/spreadsheets/d/1kVcqe37tkHyjCSG3S0O1AXqVkqjo8mSIZil3BcpIysc/edit?usp=sharing"",""ศูนย์!D32"")"),2007)</f>
        <v>2007</v>
      </c>
      <c r="K338" s="893">
        <f ca="1">IF(I338&gt;0,J338*100/I338,0)</f>
        <v>111.5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IFERROR(__xludf.DUMMYFUNCTION("IMPORTRANGE(""https://docs.google.com/spreadsheets/d/1QqKyyYR6Q21VydFLVH3TRQUabQu_ym0Zz7PgGX0-kHA/edit?usp=sharing"",""แผน!EH32"")"),8)</f>
        <v>8</v>
      </c>
      <c r="J340" s="892">
        <f ca="1">IFERROR(__xludf.DUMMYFUNCTION("IMPORTRANGE(""https://docs.google.com/spreadsheets/d/1kVcqe37tkHyjCSG3S0O1AXqVkqjo8mSIZil3BcpIysc/edit?usp=sharing"",""ศูนย์!E32"")"),5)</f>
        <v>5</v>
      </c>
      <c r="K340" s="893">
        <f ca="1">IF(I340&gt;0,J340*100/I340,0)</f>
        <v>62.5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IFERROR(__xludf.DUMMYFUNCTION("IMPORTRANGE(""https://docs.google.com/spreadsheets/d/1kVcqe37tkHyjCSG3S0O1AXqVkqjo8mSIZil3BcpIysc/edit?usp=sharing"",""ศูนย์!F32"")"),142)</f>
        <v>142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IFERROR(__xludf.DUMMYFUNCTION("IMPORTRANGE(""https://docs.google.com/spreadsheets/d/1kVcqe37tkHyjCSG3S0O1AXqVkqjo8mSIZil3BcpIysc/edit?usp=sharing"",""ศูนย์!G32"")"),0)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IFERROR(__xludf.DUMMYFUNCTION("IMPORTRANGE(""https://docs.google.com/spreadsheets/d/1kVcqe37tkHyjCSG3S0O1AXqVkqjo8mSIZil3BcpIysc/edit?usp=sharing"",""ศูนย์!H32"")"),0)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1058490</v>
      </c>
      <c r="M345" s="1004">
        <f t="shared" ca="1" si="155"/>
        <v>787430</v>
      </c>
      <c r="N345" s="1004">
        <f t="shared" ca="1" si="155"/>
        <v>596549.04</v>
      </c>
      <c r="O345" s="1004">
        <f t="shared" ref="O345:O353" ca="1" si="156">IF(L345&gt;0,N345*100/L345,0)</f>
        <v>56.358495592778389</v>
      </c>
      <c r="P345" s="1004">
        <f t="shared" ref="P345:P353" ca="1" si="157">IF(M345&gt;0,N345*100/M345,0)</f>
        <v>75.758993180346195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1058490</v>
      </c>
      <c r="M347" s="899">
        <f t="shared" ca="1" si="158"/>
        <v>787430</v>
      </c>
      <c r="N347" s="899">
        <f t="shared" ca="1" si="158"/>
        <v>596549.04</v>
      </c>
      <c r="O347" s="899">
        <f t="shared" ca="1" si="156"/>
        <v>56.358495592778389</v>
      </c>
      <c r="P347" s="899">
        <f t="shared" ca="1" si="157"/>
        <v>75.758993180346195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974690</v>
      </c>
      <c r="M348" s="893">
        <f t="shared" ca="1" si="159"/>
        <v>703630</v>
      </c>
      <c r="N348" s="893">
        <f t="shared" ca="1" si="159"/>
        <v>512749.04</v>
      </c>
      <c r="O348" s="893">
        <f t="shared" ca="1" si="156"/>
        <v>52.606371256502065</v>
      </c>
      <c r="P348" s="893">
        <f t="shared" ca="1" si="157"/>
        <v>72.87196964313631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IFERROR(__xludf.DUMMYFUNCTION("IMPORTRANGE(""https://docs.google.com/spreadsheets/d/1MeEWN-I1oV_STSDYn1IFDPWt_1FKiwhDph83XaGc0o0/edit?usp=sharing"",""งบพรบ!EW32"")"),974690)</f>
        <v>974690</v>
      </c>
      <c r="M350" s="899">
        <f ca="1">IFERROR(__xludf.DUMMYFUNCTION("IMPORTRANGE(""https://docs.google.com/spreadsheets/d/1MeEWN-I1oV_STSDYn1IFDPWt_1FKiwhDph83XaGc0o0/edit?usp=sharing"",""งบพรบ!FB32"")"),703630)</f>
        <v>703630</v>
      </c>
      <c r="N350" s="899">
        <f ca="1">IFERROR(__xludf.DUMMYFUNCTION("IMPORTRANGE(""https://docs.google.com/spreadsheets/d/1MeEWN-I1oV_STSDYn1IFDPWt_1FKiwhDph83XaGc0o0/edit?usp=sharing"",""งบพรบ!FD32"")"),512749.04)</f>
        <v>512749.04</v>
      </c>
      <c r="O350" s="899">
        <f t="shared" ca="1" si="156"/>
        <v>52.606371256502065</v>
      </c>
      <c r="P350" s="899">
        <f t="shared" ca="1" si="157"/>
        <v>72.87196964313631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83800</v>
      </c>
      <c r="M351" s="893">
        <f t="shared" ca="1" si="160"/>
        <v>83800</v>
      </c>
      <c r="N351" s="893">
        <f t="shared" ca="1" si="160"/>
        <v>83800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IFERROR(__xludf.DUMMYFUNCTION("IMPORTRANGE(""https://docs.google.com/spreadsheets/d/1MeEWN-I1oV_STSDYn1IFDPWt_1FKiwhDph83XaGc0o0/edit?usp=sharing"",""งบพรบ!EZ32"")"),83800)</f>
        <v>83800</v>
      </c>
      <c r="M353" s="899">
        <f ca="1">IFERROR(__xludf.DUMMYFUNCTION("IMPORTRANGE(""https://docs.google.com/spreadsheets/d/1MeEWN-I1oV_STSDYn1IFDPWt_1FKiwhDph83XaGc0o0/edit?usp=sharing"",""งบพรบ!FC32"")"),83800)</f>
        <v>83800</v>
      </c>
      <c r="N353" s="899">
        <f ca="1">IFERROR(__xludf.DUMMYFUNCTION("IMPORTRANGE(""https://docs.google.com/spreadsheets/d/1MeEWN-I1oV_STSDYn1IFDPWt_1FKiwhDph83XaGc0o0/edit?usp=sharing"",""งบพรบ!FE32"")"),83800)</f>
        <v>83800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IFERROR(__xludf.DUMMYFUNCTION("IMPORTRANGE(""https://docs.google.com/spreadsheets/d/1QqKyyYR6Q21VydFLVH3TRQUabQu_ym0Zz7PgGX0-kHA/edit?usp=sharing"",""แผน!EP32"")"),250)</f>
        <v>250</v>
      </c>
      <c r="J355" s="1218">
        <f ca="1">J362</f>
        <v>86</v>
      </c>
      <c r="K355" s="1219">
        <f ca="1">IF(I355&gt;0,J355*100/I355,0)</f>
        <v>34.4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IFERROR(__xludf.DUMMYFUNCTION("IMPORTRANGE(""https://docs.google.com/spreadsheets/d/1XWAQStnk-4SwqDmLtmXYiTMKHgktTP8We1SCoS47DrQ/edit?usp=sharing"",""จัดที่ดิน!W32"")"),238)</f>
        <v>238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IFERROR(__xludf.DUMMYFUNCTION("IMPORTRANGE(""https://docs.google.com/spreadsheets/d/1QqKyyYR6Q21VydFLVH3TRQUabQu_ym0Zz7PgGX0-kHA/edit?usp=sharing"",""แผน!EO32"")"),2500)</f>
        <v>2500</v>
      </c>
      <c r="J359" s="892">
        <f ca="1">IFERROR(__xludf.DUMMYFUNCTION("IMPORTRANGE(""https://docs.google.com/spreadsheets/d/1XWAQStnk-4SwqDmLtmXYiTMKHgktTP8We1SCoS47DrQ/edit?usp=sharing"",""จัดที่ดิน!X32"")"),1961.25)</f>
        <v>1961.25</v>
      </c>
      <c r="K359" s="893">
        <f t="shared" ca="1" si="161"/>
        <v>78.45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IFERROR(__xludf.DUMMYFUNCTION("IMPORTRANGE(""https://docs.google.com/spreadsheets/d/1QqKyyYR6Q21VydFLVH3TRQUabQu_ym0Zz7PgGX0-kHA/edit?usp=sharing"",""แผน!EP32"")"),250)</f>
        <v>250</v>
      </c>
      <c r="J360" s="892">
        <f ca="1">IFERROR(__xludf.DUMMYFUNCTION("IMPORTRANGE(""https://docs.google.com/spreadsheets/d/1XWAQStnk-4SwqDmLtmXYiTMKHgktTP8We1SCoS47DrQ/edit?usp=sharing"",""จัดที่ดิน!Y32"")"),241)</f>
        <v>241</v>
      </c>
      <c r="K360" s="893">
        <f t="shared" ca="1" si="161"/>
        <v>96.4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IFERROR(__xludf.DUMMYFUNCTION("IMPORTRANGE(""https://docs.google.com/spreadsheets/d/1XWAQStnk-4SwqDmLtmXYiTMKHgktTP8We1SCoS47DrQ/edit?usp=sharing"",""จัดที่ดิน!Z32"")"),1947.14)</f>
        <v>1947.14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IFERROR(__xludf.DUMMYFUNCTION("IMPORTRANGE(""https://docs.google.com/spreadsheets/d/1QqKyyYR6Q21VydFLVH3TRQUabQu_ym0Zz7PgGX0-kHA/edit?usp=sharing"",""แผน!EP32"")"),250)</f>
        <v>250</v>
      </c>
      <c r="J362" s="892">
        <f ca="1">IFERROR(__xludf.DUMMYFUNCTION("IMPORTRANGE(""https://docs.google.com/spreadsheets/d/1XWAQStnk-4SwqDmLtmXYiTMKHgktTP8We1SCoS47DrQ/edit?usp=sharing"",""จัดที่ดิน!AA32"")"),86)</f>
        <v>86</v>
      </c>
      <c r="K362" s="893">
        <f t="shared" ca="1" si="161"/>
        <v>34.4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IFERROR(__xludf.DUMMYFUNCTION("IMPORTRANGE(""https://docs.google.com/spreadsheets/d/1XWAQStnk-4SwqDmLtmXYiTMKHgktTP8We1SCoS47DrQ/edit?usp=sharing"",""จัดที่ดิน!AB32"")"),600.069999999999)</f>
        <v>600.06999999999903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700</v>
      </c>
      <c r="J364" s="1231">
        <f t="shared" ca="1" si="162"/>
        <v>423</v>
      </c>
      <c r="K364" s="1232">
        <f t="shared" ca="1" si="161"/>
        <v>60.428571428571431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IFERROR(__xludf.DUMMYFUNCTION("IMPORTRANGE(""https://docs.google.com/spreadsheets/d/1QqKyyYR6Q21VydFLVH3TRQUabQu_ym0Zz7PgGX0-kHA/edit?usp=sharing"",""แผน!EJ32"")"),50)</f>
        <v>50</v>
      </c>
      <c r="J365" s="1239">
        <f ca="1">J372</f>
        <v>31</v>
      </c>
      <c r="K365" s="1240">
        <f t="shared" ca="1" si="161"/>
        <v>62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IFERROR(__xludf.DUMMYFUNCTION("IMPORTRANGE(""https://docs.google.com/spreadsheets/d/1XWAQStnk-4SwqDmLtmXYiTMKHgktTP8We1SCoS47DrQ/edit?usp=sharing"",""จัดที่ดิน!E32"")"),44)</f>
        <v>44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IFERROR(__xludf.DUMMYFUNCTION("IMPORTRANGE(""https://docs.google.com/spreadsheets/d/1QqKyyYR6Q21VydFLVH3TRQUabQu_ym0Zz7PgGX0-kHA/edit?usp=sharing"",""แผน!EI32"")"),300)</f>
        <v>300</v>
      </c>
      <c r="J369" s="892">
        <f ca="1">IFERROR(__xludf.DUMMYFUNCTION("IMPORTRANGE(""https://docs.google.com/spreadsheets/d/1XWAQStnk-4SwqDmLtmXYiTMKHgktTP8We1SCoS47DrQ/edit?usp=sharing"",""จัดที่ดิน!F32"")"),269.6)</f>
        <v>269.60000000000002</v>
      </c>
      <c r="K369" s="893">
        <f t="shared" ca="1" si="163"/>
        <v>89.866666666666674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IFERROR(__xludf.DUMMYFUNCTION("IMPORTRANGE(""https://docs.google.com/spreadsheets/d/1QqKyyYR6Q21VydFLVH3TRQUabQu_ym0Zz7PgGX0-kHA/edit?usp=sharing"",""แผน!EJ32"")"),50)</f>
        <v>50</v>
      </c>
      <c r="J370" s="892">
        <f ca="1">IFERROR(__xludf.DUMMYFUNCTION("IMPORTRANGE(""https://docs.google.com/spreadsheets/d/1XWAQStnk-4SwqDmLtmXYiTMKHgktTP8We1SCoS47DrQ/edit?usp=sharing"",""จัดที่ดิน!G32"")"),47)</f>
        <v>47</v>
      </c>
      <c r="K370" s="893">
        <f t="shared" ca="1" si="163"/>
        <v>94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IFERROR(__xludf.DUMMYFUNCTION("IMPORTRANGE(""https://docs.google.com/spreadsheets/d/1XWAQStnk-4SwqDmLtmXYiTMKHgktTP8We1SCoS47DrQ/edit?usp=sharing"",""จัดที่ดิน!H32"")"),255.49)</f>
        <v>255.49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IFERROR(__xludf.DUMMYFUNCTION("IMPORTRANGE(""https://docs.google.com/spreadsheets/d/1QqKyyYR6Q21VydFLVH3TRQUabQu_ym0Zz7PgGX0-kHA/edit?usp=sharing"",""แผน!EJ32"")"),50)</f>
        <v>50</v>
      </c>
      <c r="J372" s="892">
        <f ca="1">IFERROR(__xludf.DUMMYFUNCTION("IMPORTRANGE(""https://docs.google.com/spreadsheets/d/1XWAQStnk-4SwqDmLtmXYiTMKHgktTP8We1SCoS47DrQ/edit?usp=sharing"",""จัดที่ดิน!I32"")"),31)</f>
        <v>31</v>
      </c>
      <c r="K372" s="893">
        <f t="shared" ca="1" si="163"/>
        <v>62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IFERROR(__xludf.DUMMYFUNCTION("IMPORTRANGE(""https://docs.google.com/spreadsheets/d/1XWAQStnk-4SwqDmLtmXYiTMKHgktTP8We1SCoS47DrQ/edit?usp=sharing"",""จัดที่ดิน!J32"")"),168.25)</f>
        <v>168.25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IFERROR(__xludf.DUMMYFUNCTION("IMPORTRANGE(""https://docs.google.com/spreadsheets/d/1QqKyyYR6Q21VydFLVH3TRQUabQu_ym0Zz7PgGX0-kHA/edit?usp=sharing"",""แผน!EU32"")"),650)</f>
        <v>650</v>
      </c>
      <c r="J374" s="1239">
        <f ca="1">J381</f>
        <v>392</v>
      </c>
      <c r="K374" s="1240">
        <f t="shared" ca="1" si="163"/>
        <v>60.307692307692307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IFERROR(__xludf.DUMMYFUNCTION("IMPORTRANGE(""https://docs.google.com/spreadsheets/d/1XWAQStnk-4SwqDmLtmXYiTMKHgktTP8We1SCoS47DrQ/edit?usp=sharing"",""จัดที่ดิน!AH32"")"),194)</f>
        <v>194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IFERROR(__xludf.DUMMYFUNCTION("IMPORTRANGE(""https://docs.google.com/spreadsheets/d/1QqKyyYR6Q21VydFLVH3TRQUabQu_ym0Zz7PgGX0-kHA/edit?usp=sharing"",""แผน!ET32"")"),2200)</f>
        <v>2200</v>
      </c>
      <c r="J378" s="892">
        <f ca="1">IFERROR(__xludf.DUMMYFUNCTION("IMPORTRANGE(""https://docs.google.com/spreadsheets/d/1XWAQStnk-4SwqDmLtmXYiTMKHgktTP8We1SCoS47DrQ/edit?usp=sharing"",""จัดที่ดิน!AI32"")"),1691.65)</f>
        <v>1691.65</v>
      </c>
      <c r="K378" s="893">
        <f t="shared" ca="1" si="164"/>
        <v>76.893181818181816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IFERROR(__xludf.DUMMYFUNCTION("IMPORTRANGE(""https://docs.google.com/spreadsheets/d/1QqKyyYR6Q21VydFLVH3TRQUabQu_ym0Zz7PgGX0-kHA/edit?usp=sharing"",""แผน!EU32"")"),650)</f>
        <v>650</v>
      </c>
      <c r="J379" s="892">
        <f ca="1">IFERROR(__xludf.DUMMYFUNCTION("IMPORTRANGE(""https://docs.google.com/spreadsheets/d/1XWAQStnk-4SwqDmLtmXYiTMKHgktTP8We1SCoS47DrQ/edit?usp=sharing"",""จัดที่ดิน!AJ32"")"),555)</f>
        <v>555</v>
      </c>
      <c r="K379" s="893">
        <f t="shared" ca="1" si="164"/>
        <v>85.384615384615387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IFERROR(__xludf.DUMMYFUNCTION("IMPORTRANGE(""https://docs.google.com/spreadsheets/d/1XWAQStnk-4SwqDmLtmXYiTMKHgktTP8We1SCoS47DrQ/edit?usp=sharing"",""จัดที่ดิน!AK32"")"),5944.23)</f>
        <v>5944.23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IFERROR(__xludf.DUMMYFUNCTION("IMPORTRANGE(""https://docs.google.com/spreadsheets/d/1QqKyyYR6Q21VydFLVH3TRQUabQu_ym0Zz7PgGX0-kHA/edit?usp=sharing"",""แผน!EU32"")"),650)</f>
        <v>650</v>
      </c>
      <c r="J381" s="892">
        <f ca="1">IFERROR(__xludf.DUMMYFUNCTION("IMPORTRANGE(""https://docs.google.com/spreadsheets/d/1XWAQStnk-4SwqDmLtmXYiTMKHgktTP8We1SCoS47DrQ/edit?usp=sharing"",""จัดที่ดิน!AL32"")"),392)</f>
        <v>392</v>
      </c>
      <c r="K381" s="893">
        <f t="shared" ca="1" si="164"/>
        <v>60.307692307692307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IFERROR(__xludf.DUMMYFUNCTION("IMPORTRANGE(""https://docs.google.com/spreadsheets/d/1XWAQStnk-4SwqDmLtmXYiTMKHgktTP8We1SCoS47DrQ/edit?usp=sharing"",""จัดที่ดิน!AM32"")"),4438.65)</f>
        <v>4438.6499999999996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IFERROR(__xludf.DUMMYFUNCTION("IMPORTRANGE(""https://docs.google.com/spreadsheets/d/1QqKyyYR6Q21VydFLVH3TRQUabQu_ym0Zz7PgGX0-kHA/edit?usp=sharing"",""แผน!EW32"")"),50)</f>
        <v>50</v>
      </c>
      <c r="J385" s="1149">
        <f ca="1">IFERROR(__xludf.DUMMYFUNCTION("IMPORTRANGE(""https://docs.google.com/spreadsheets/d/1XWAQStnk-4SwqDmLtmXYiTMKHgktTP8We1SCoS47DrQ/edit?usp=sharing"",""จัดที่ดิน!AP32"")"),0)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IFERROR(__xludf.DUMMYFUNCTION("IMPORTRANGE(""https://docs.google.com/spreadsheets/d/1MeEWN-I1oV_STSDYn1IFDPWt_1FKiwhDph83XaGc0o0/edit?usp=sharing"",""งบพรบ!FG32"")"),0)</f>
        <v>0</v>
      </c>
      <c r="M394" s="899">
        <f ca="1">IFERROR(__xludf.DUMMYFUNCTION("IMPORTRANGE(""https://docs.google.com/spreadsheets/d/1MeEWN-I1oV_STSDYn1IFDPWt_1FKiwhDph83XaGc0o0/edit?usp=sharing"",""งบพรบ!FL32"")"),0)</f>
        <v>0</v>
      </c>
      <c r="N394" s="899">
        <f ca="1">IFERROR(__xludf.DUMMYFUNCTION("IMPORTRANGE(""https://docs.google.com/spreadsheets/d/1MeEWN-I1oV_STSDYn1IFDPWt_1FKiwhDph83XaGc0o0/edit?usp=sharing"",""งบพรบ!FN32"")"),0)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IFERROR(__xludf.DUMMYFUNCTION("IMPORTRANGE(""https://docs.google.com/spreadsheets/d/1MeEWN-I1oV_STSDYn1IFDPWt_1FKiwhDph83XaGc0o0/edit?usp=sharing"",""งบพรบ!FJ32"")"),0)</f>
        <v>0</v>
      </c>
      <c r="M397" s="899">
        <f ca="1">IFERROR(__xludf.DUMMYFUNCTION("IMPORTRANGE(""https://docs.google.com/spreadsheets/d/1MeEWN-I1oV_STSDYn1IFDPWt_1FKiwhDph83XaGc0o0/edit?usp=sharing"",""งบพรบ!FM32"")"),0)</f>
        <v>0</v>
      </c>
      <c r="N397" s="899">
        <f ca="1">IFERROR(__xludf.DUMMYFUNCTION("IMPORTRANGE(""https://docs.google.com/spreadsheets/d/1MeEWN-I1oV_STSDYn1IFDPWt_1FKiwhDph83XaGc0o0/edit?usp=sharing"",""งบพรบ!FO32"")"),0)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IFERROR(__xludf.DUMMYFUNCTION("IMPORTRANGE(""https://docs.google.com/spreadsheets/d/1MeEWN-I1oV_STSDYn1IFDPWt_1FKiwhDph83XaGc0o0/edit?usp=sharing"",""งบพรบ!FQ32"")"),0)</f>
        <v>0</v>
      </c>
      <c r="M407" s="899">
        <f ca="1">IFERROR(__xludf.DUMMYFUNCTION("IMPORTRANGE(""https://docs.google.com/spreadsheets/d/1MeEWN-I1oV_STSDYn1IFDPWt_1FKiwhDph83XaGc0o0/edit?usp=sharing"",""งบพรบ!FV32"")"),0)</f>
        <v>0</v>
      </c>
      <c r="N407" s="899">
        <f ca="1">IFERROR(__xludf.DUMMYFUNCTION("IMPORTRANGE(""https://docs.google.com/spreadsheets/d/1MeEWN-I1oV_STSDYn1IFDPWt_1FKiwhDph83XaGc0o0/edit?usp=sharing"",""งบพรบ!FX32"")"),0)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IFERROR(__xludf.DUMMYFUNCTION("IMPORTRANGE(""https://docs.google.com/spreadsheets/d/1MeEWN-I1oV_STSDYn1IFDPWt_1FKiwhDph83XaGc0o0/edit?usp=sharing"",""งบพรบ!FT32"")"),0)</f>
        <v>0</v>
      </c>
      <c r="M410" s="899">
        <f ca="1">IFERROR(__xludf.DUMMYFUNCTION("IMPORTRANGE(""https://docs.google.com/spreadsheets/d/1MeEWN-I1oV_STSDYn1IFDPWt_1FKiwhDph83XaGc0o0/edit?usp=sharing"",""งบพรบ!FW32"")"),0)</f>
        <v>0</v>
      </c>
      <c r="N410" s="899">
        <f ca="1">IFERROR(__xludf.DUMMYFUNCTION("IMPORTRANGE(""https://docs.google.com/spreadsheets/d/1MeEWN-I1oV_STSDYn1IFDPWt_1FKiwhDph83XaGc0o0/edit?usp=sharing"",""งบพรบ!FY32"")"),0)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2862087</v>
      </c>
      <c r="M414" s="1293">
        <f t="shared" ca="1" si="181"/>
        <v>2862087</v>
      </c>
      <c r="N414" s="1293">
        <f t="shared" si="181"/>
        <v>816174.58</v>
      </c>
      <c r="O414" s="1293">
        <f ca="1">IF(L414&gt;0,N414*100/L414,0)</f>
        <v>28.516763466659121</v>
      </c>
      <c r="P414" s="1293">
        <f ca="1">IF(M414&gt;0,N414*100/M414,0)</f>
        <v>28.516763466659121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78110</v>
      </c>
      <c r="O419" s="1004">
        <f t="shared" ref="O419:O424" ca="1" si="185">IF(L419&gt;0,N419*100/L419,0)</f>
        <v>99.300788202390038</v>
      </c>
      <c r="P419" s="1004">
        <f t="shared" ref="P419:P424" ca="1" si="186">IF(M419&gt;0,N419*100/M419,0)</f>
        <v>99.300788202390038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78110</v>
      </c>
      <c r="O421" s="899">
        <f t="shared" ca="1" si="185"/>
        <v>99.300788202390038</v>
      </c>
      <c r="P421" s="899">
        <f t="shared" ca="1" si="186"/>
        <v>99.300788202390038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78110</v>
      </c>
      <c r="O422" s="893">
        <f t="shared" ca="1" si="185"/>
        <v>99.300788202390038</v>
      </c>
      <c r="P422" s="893">
        <f t="shared" ca="1" si="186"/>
        <v>99.300788202390038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IFERROR(__xludf.DUMMYFUNCTION("IMPORTRANGE(""https://docs.google.com/spreadsheets/d/1QqKyyYR6Q21VydFLVH3TRQUabQu_ym0Zz7PgGX0-kHA/edit?usp=sharing"",""แผน!EY32"")"),78660)</f>
        <v>78660</v>
      </c>
      <c r="M424" s="899">
        <f ca="1">L424</f>
        <v>78660</v>
      </c>
      <c r="N424" s="899">
        <f>N425+N426+N427+N428</f>
        <v>78110</v>
      </c>
      <c r="O424" s="899">
        <f t="shared" ca="1" si="185"/>
        <v>99.300788202390038</v>
      </c>
      <c r="P424" s="899">
        <f t="shared" ca="1" si="186"/>
        <v>99.300788202390038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f>48400</f>
        <v>48400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f>5760+3000+18000+3500-550</f>
        <v>29710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IFERROR(__xludf.DUMMYFUNCTION("IMPORTRANGE(""https://docs.google.com/spreadsheets/d/1QqKyyYR6Q21VydFLVH3TRQUabQu_ym0Zz7PgGX0-kHA/edit?usp=sharing"",""แผน!FB32"")"),0)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IFERROR(__xludf.DUMMYFUNCTION("IMPORTRANGE(""https://docs.google.com/spreadsheets/d/1QqKyyYR6Q21VydFLVH3TRQUabQu_ym0Zz7PgGX0-kHA/edit?usp=sharing"",""แผน!FE32"")"),0)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IFERROR(__xludf.DUMMYFUNCTION("IMPORTRANGE(""https://docs.google.com/spreadsheets/d/1QqKyyYR6Q21VydFLVH3TRQUabQu_ym0Zz7PgGX0-kHA/edit?usp=sharing"",""แผน!FG32"")"),1)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IFERROR(__xludf.DUMMYFUNCTION("IMPORTRANGE(""https://docs.google.com/spreadsheets/d/1QqKyyYR6Q21VydFLVH3TRQUabQu_ym0Zz7PgGX0-kHA/edit?usp=sharing"",""แผน!FH32"")"),0)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60</v>
      </c>
      <c r="J442" s="1322">
        <f t="shared" si="195"/>
        <v>60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300</v>
      </c>
      <c r="J443" s="1306">
        <f t="shared" si="196"/>
        <v>300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524600</v>
      </c>
      <c r="M444" s="1032">
        <f t="shared" ca="1" si="197"/>
        <v>524600</v>
      </c>
      <c r="N444" s="1032">
        <f t="shared" si="197"/>
        <v>129485</v>
      </c>
      <c r="O444" s="1032">
        <f t="shared" ref="O444:O449" ca="1" si="198">IF(L444&gt;0,N444*100/L444,0)</f>
        <v>24.682615325962637</v>
      </c>
      <c r="P444" s="1032">
        <f t="shared" ref="P444:P449" ca="1" si="199">IF(M444&gt;0,N444*100/M444,0)</f>
        <v>24.682615325962637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524600</v>
      </c>
      <c r="M446" s="899">
        <f t="shared" ca="1" si="200"/>
        <v>524600</v>
      </c>
      <c r="N446" s="899">
        <f t="shared" si="200"/>
        <v>129485</v>
      </c>
      <c r="O446" s="899">
        <f t="shared" ca="1" si="198"/>
        <v>24.682615325962637</v>
      </c>
      <c r="P446" s="899">
        <f t="shared" ca="1" si="199"/>
        <v>24.682615325962637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524600</v>
      </c>
      <c r="M447" s="893">
        <f t="shared" ca="1" si="201"/>
        <v>524600</v>
      </c>
      <c r="N447" s="893">
        <f t="shared" si="201"/>
        <v>129485</v>
      </c>
      <c r="O447" s="893">
        <f t="shared" ca="1" si="198"/>
        <v>24.682615325962637</v>
      </c>
      <c r="P447" s="893">
        <f t="shared" ca="1" si="199"/>
        <v>24.682615325962637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IFERROR(__xludf.DUMMYFUNCTION("IMPORTRANGE(""https://docs.google.com/spreadsheets/d/1QqKyyYR6Q21VydFLVH3TRQUabQu_ym0Zz7PgGX0-kHA/edit?usp=sharing"",""แผน!FJ32"")"),524600)</f>
        <v>524600</v>
      </c>
      <c r="M449" s="899">
        <f ca="1">L449</f>
        <v>524600</v>
      </c>
      <c r="N449" s="899">
        <f>N450+N451+N452+N453</f>
        <v>129485</v>
      </c>
      <c r="O449" s="899">
        <f t="shared" ca="1" si="198"/>
        <v>24.682615325962637</v>
      </c>
      <c r="P449" s="899">
        <f t="shared" ca="1" si="199"/>
        <v>24.682615325962637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57165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52000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f>10800+8960+560</f>
        <v>20320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IFERROR(__xludf.DUMMYFUNCTION("IMPORTRANGE(""https://docs.google.com/spreadsheets/d/1QqKyyYR6Q21VydFLVH3TRQUabQu_ym0Zz7PgGX0-kHA/edit?usp=sharing"",""แผน!FM32"")"),0)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IFERROR(__xludf.DUMMYFUNCTION("IMPORTRANGE(""https://docs.google.com/spreadsheets/d/1QqKyyYR6Q21VydFLVH3TRQUabQu_ym0Zz7PgGX0-kHA/edit?usp=sharing"",""แผน!FN32"")"),60)</f>
        <v>60</v>
      </c>
      <c r="J460" s="1024">
        <v>60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IFERROR(__xludf.DUMMYFUNCTION("IMPORTRANGE(""https://docs.google.com/spreadsheets/d/1QqKyyYR6Q21VydFLVH3TRQUabQu_ym0Zz7PgGX0-kHA/edit?usp=sharing"",""แผน!FO32"")"),300)</f>
        <v>300</v>
      </c>
      <c r="J462" s="1024">
        <v>300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IFERROR(__xludf.DUMMYFUNCTION("IMPORTRANGE(""https://docs.google.com/spreadsheets/d/1QqKyyYR6Q21VydFLVH3TRQUabQu_ym0Zz7PgGX0-kHA/edit?usp=sharing"",""แผน!FO32"")"),300)</f>
        <v>300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IFERROR(__xludf.DUMMYFUNCTION("IMPORTRANGE(""https://docs.google.com/spreadsheets/d/1QqKyyYR6Q21VydFLVH3TRQUabQu_ym0Zz7PgGX0-kHA/edit?usp=sharing"",""แผน!FN32"")"),60)</f>
        <v>60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IFERROR(__xludf.DUMMYFUNCTION("IMPORTRANGE(""https://docs.google.com/spreadsheets/d/1QqKyyYR6Q21VydFLVH3TRQUabQu_ym0Zz7PgGX0-kHA/edit?usp=sharing"",""แผน!FX32"")"),131)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IFERROR(__xludf.DUMMYFUNCTION("IMPORTRANGE(""https://docs.google.com/spreadsheets/d/1QqKyyYR6Q21VydFLVH3TRQUabQu_ym0Zz7PgGX0-kHA/edit?usp=sharing"",""แผน!FW32"")"),1300)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1170468</v>
      </c>
      <c r="M467" s="1032">
        <f t="shared" ca="1" si="206"/>
        <v>1170468</v>
      </c>
      <c r="N467" s="1032">
        <f t="shared" si="206"/>
        <v>158134.71</v>
      </c>
      <c r="O467" s="1032">
        <f t="shared" ref="O467:O472" ca="1" si="207">IF(L467&gt;0,N467*100/L467,0)</f>
        <v>13.510383026276669</v>
      </c>
      <c r="P467" s="1032">
        <f t="shared" ref="P467:P472" ca="1" si="208">IF(M467&gt;0,N467*100/M467,0)</f>
        <v>13.510383026276669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1170468</v>
      </c>
      <c r="M469" s="899">
        <f t="shared" ca="1" si="209"/>
        <v>1170468</v>
      </c>
      <c r="N469" s="899">
        <f t="shared" si="209"/>
        <v>158134.71</v>
      </c>
      <c r="O469" s="899">
        <f t="shared" ca="1" si="207"/>
        <v>13.510383026276669</v>
      </c>
      <c r="P469" s="899">
        <f t="shared" ca="1" si="208"/>
        <v>13.510383026276669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1170468</v>
      </c>
      <c r="M470" s="893">
        <f t="shared" ca="1" si="210"/>
        <v>1170468</v>
      </c>
      <c r="N470" s="893">
        <f t="shared" si="210"/>
        <v>158134.71</v>
      </c>
      <c r="O470" s="893">
        <f t="shared" ca="1" si="207"/>
        <v>13.510383026276669</v>
      </c>
      <c r="P470" s="893">
        <f t="shared" ca="1" si="208"/>
        <v>13.510383026276669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IFERROR(__xludf.DUMMYFUNCTION("IMPORTRANGE(""https://docs.google.com/spreadsheets/d/1QqKyyYR6Q21VydFLVH3TRQUabQu_ym0Zz7PgGX0-kHA/edit?usp=sharing"",""แผน!FS32"")"),1170468)</f>
        <v>1170468</v>
      </c>
      <c r="M472" s="899">
        <f ca="1">L472</f>
        <v>1170468</v>
      </c>
      <c r="N472" s="899">
        <f>N473+N474+N475+N476</f>
        <v>158134.71</v>
      </c>
      <c r="O472" s="899">
        <f t="shared" ca="1" si="207"/>
        <v>13.510383026276669</v>
      </c>
      <c r="P472" s="899">
        <f t="shared" ca="1" si="208"/>
        <v>13.510383026276669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78699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51535.71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3200+3900+2500+9750+7990+560</f>
        <v>27900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IFERROR(__xludf.DUMMYFUNCTION("IMPORTRANGE(""https://docs.google.com/spreadsheets/d/1QqKyyYR6Q21VydFLVH3TRQUabQu_ym0Zz7PgGX0-kHA/edit?usp=sharing"",""แผน!FV32"")"),0)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IFERROR(__xludf.DUMMYFUNCTION("IMPORTRANGE(""https://docs.google.com/spreadsheets/d/1QqKyyYR6Q21VydFLVH3TRQUabQu_ym0Zz7PgGX0-kHA/edit?usp=sharing"",""แผน!FY32"")"),1170)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117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IFERROR(__xludf.DUMMYFUNCTION("IMPORTRANGE(""https://docs.google.com/spreadsheets/d/1QqKyyYR6Q21VydFLVH3TRQUabQu_ym0Zz7PgGX0-kHA/edit?usp=sharing"",""แผน!FZ32"")"),117)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IFERROR(__xludf.DUMMYFUNCTION("IMPORTRANGE(""https://docs.google.com/spreadsheets/d/1QqKyyYR6Q21VydFLVH3TRQUabQu_ym0Zz7PgGX0-kHA/edit?usp=sharing"",""แผน!GA32"")"),130)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13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IFERROR(__xludf.DUMMYFUNCTION("IMPORTRANGE(""https://docs.google.com/spreadsheets/d/1QqKyyYR6Q21VydFLVH3TRQUabQu_ym0Zz7PgGX0-kHA/edit?usp=sharing"",""แผน!GB32"")"),13)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IFERROR(__xludf.DUMMYFUNCTION("IMPORTRANGE(""https://docs.google.com/spreadsheets/d/1QqKyyYR6Q21VydFLVH3TRQUabQu_ym0Zz7PgGX0-kHA/edit?usp=sharing"",""แผน!GC32"")"),1)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IFERROR(__xludf.DUMMYFUNCTION("IMPORTRANGE(""https://docs.google.com/spreadsheets/d/1QqKyyYR6Q21VydFLVH3TRQUabQu_ym0Zz7PgGX0-kHA/edit?usp=sharing"",""แผน!FY32"")"),1170)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IFERROR(__xludf.DUMMYFUNCTION("IMPORTRANGE(""https://docs.google.com/spreadsheets/d/1QqKyyYR6Q21VydFLVH3TRQUabQu_ym0Zz7PgGX0-kHA/edit?usp=sharing"",""แผน!GA32"")"),130)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30</v>
      </c>
      <c r="J522" s="1389">
        <f t="shared" ca="1" si="225"/>
        <v>30</v>
      </c>
      <c r="K522" s="1390">
        <f ca="1">IF(I522&gt;0,J522*100/I522,0)</f>
        <v>100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277260</v>
      </c>
      <c r="M523" s="1032">
        <f t="shared" ca="1" si="226"/>
        <v>277260</v>
      </c>
      <c r="N523" s="1032">
        <f t="shared" si="226"/>
        <v>43124</v>
      </c>
      <c r="O523" s="1032">
        <f t="shared" ref="O523:O528" ca="1" si="227">IF(L523&gt;0,N523*100/L523,0)</f>
        <v>15.553631969992065</v>
      </c>
      <c r="P523" s="1032">
        <f t="shared" ref="P523:P528" ca="1" si="228">IF(M523&gt;0,N523*100/M523,0)</f>
        <v>15.553631969992065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277260</v>
      </c>
      <c r="M525" s="899">
        <f t="shared" ca="1" si="229"/>
        <v>277260</v>
      </c>
      <c r="N525" s="899">
        <f t="shared" si="229"/>
        <v>43124</v>
      </c>
      <c r="O525" s="899">
        <f t="shared" ca="1" si="227"/>
        <v>15.553631969992065</v>
      </c>
      <c r="P525" s="899">
        <f t="shared" ca="1" si="228"/>
        <v>15.553631969992065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277260</v>
      </c>
      <c r="M526" s="893">
        <f t="shared" ca="1" si="230"/>
        <v>277260</v>
      </c>
      <c r="N526" s="893">
        <f t="shared" si="230"/>
        <v>43124</v>
      </c>
      <c r="O526" s="893">
        <f t="shared" ca="1" si="227"/>
        <v>15.553631969992065</v>
      </c>
      <c r="P526" s="893">
        <f t="shared" ca="1" si="228"/>
        <v>15.553631969992065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IFERROR(__xludf.DUMMYFUNCTION("IMPORTRANGE(""https://docs.google.com/spreadsheets/d/1QqKyyYR6Q21VydFLVH3TRQUabQu_ym0Zz7PgGX0-kHA/edit?usp=sharing"",""แผน!GQ32"")"),277260)</f>
        <v>277260</v>
      </c>
      <c r="M528" s="899">
        <f ca="1">L528</f>
        <v>277260</v>
      </c>
      <c r="N528" s="899">
        <f>N529+N530+N531+N532</f>
        <v>43124</v>
      </c>
      <c r="O528" s="899">
        <f t="shared" ca="1" si="227"/>
        <v>15.553631969992065</v>
      </c>
      <c r="P528" s="899">
        <f t="shared" ca="1" si="228"/>
        <v>15.553631969992065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f>20510+8180</f>
        <v>28690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f>2994+7500+3940</f>
        <v>14434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IFERROR(__xludf.DUMMYFUNCTION("IMPORTRANGE(""https://docs.google.com/spreadsheets/d/1QqKyyYR6Q21VydFLVH3TRQUabQu_ym0Zz7PgGX0-kHA/edit?usp=sharing"",""แผน!GT32"")"),0)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IFERROR(__xludf.DUMMYFUNCTION("IMPORTRANGE(""https://docs.google.com/spreadsheets/d/1QqKyyYR6Q21VydFLVH3TRQUabQu_ym0Zz7PgGX0-kHA/edit?usp=sharing"",""แผน!GU32"")"),30)</f>
        <v>30</v>
      </c>
      <c r="J537" s="1031">
        <f ca="1">IF(AND(J538=I538,J539=I539,J540=I540,J541=I541),I537,0)</f>
        <v>30</v>
      </c>
      <c r="K537" s="893">
        <f t="shared" ref="K537:K543" ca="1" si="234">IF(I537&gt;0,J537*100/I537,0)</f>
        <v>100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IFERROR(__xludf.DUMMYFUNCTION("IMPORTRANGE(""https://docs.google.com/spreadsheets/d/1QqKyyYR6Q21VydFLVH3TRQUabQu_ym0Zz7PgGX0-kHA/edit?usp=sharing"",""แผน!GV32"")"),30)</f>
        <v>30</v>
      </c>
      <c r="J538" s="1024">
        <v>30</v>
      </c>
      <c r="K538" s="893">
        <f t="shared" ca="1" si="234"/>
        <v>100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IFERROR(__xludf.DUMMYFUNCTION("IMPORTRANGE(""https://docs.google.com/spreadsheets/d/1QqKyyYR6Q21VydFLVH3TRQUabQu_ym0Zz7PgGX0-kHA/edit?usp=sharing"",""แผน!GW32"")"),0)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IFERROR(__xludf.DUMMYFUNCTION("IMPORTRANGE(""https://docs.google.com/spreadsheets/d/1QqKyyYR6Q21VydFLVH3TRQUabQu_ym0Zz7PgGX0-kHA/edit?usp=sharing"",""แผน!GX32"")"),0)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IFERROR(__xludf.DUMMYFUNCTION("IMPORTRANGE(""https://docs.google.com/spreadsheets/d/1QqKyyYR6Q21VydFLVH3TRQUabQu_ym0Zz7PgGX0-kHA/edit?usp=sharing"",""แผน!GY32"")"),30)</f>
        <v>30</v>
      </c>
      <c r="J541" s="1024">
        <v>30</v>
      </c>
      <c r="K541" s="893">
        <f t="shared" ca="1" si="234"/>
        <v>100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IFERROR(__xludf.DUMMYFUNCTION("IMPORTRANGE(""https://docs.google.com/spreadsheets/d/1QqKyyYR6Q21VydFLVH3TRQUabQu_ym0Zz7PgGX0-kHA/edit?usp=sharing"",""แผน!GZ32"")"),30)</f>
        <v>30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43969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406544</v>
      </c>
      <c r="M544" s="1004">
        <f t="shared" ca="1" si="236"/>
        <v>406544</v>
      </c>
      <c r="N544" s="1004">
        <f t="shared" si="236"/>
        <v>179927</v>
      </c>
      <c r="O544" s="1004">
        <f t="shared" ref="O544:O549" ca="1" si="237">IF(L544&gt;0,N544*100/L544,0)</f>
        <v>44.257694124129245</v>
      </c>
      <c r="P544" s="1004">
        <f t="shared" ref="P544:P549" ca="1" si="238">IF(M544&gt;0,N544*100/M544,0)</f>
        <v>44.257694124129245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406544</v>
      </c>
      <c r="M546" s="899">
        <f t="shared" ca="1" si="240"/>
        <v>406544</v>
      </c>
      <c r="N546" s="899">
        <f t="shared" si="240"/>
        <v>179927</v>
      </c>
      <c r="O546" s="899">
        <f t="shared" ca="1" si="237"/>
        <v>44.257694124129245</v>
      </c>
      <c r="P546" s="899">
        <f t="shared" ca="1" si="238"/>
        <v>44.257694124129245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406544</v>
      </c>
      <c r="M547" s="893">
        <f t="shared" ca="1" si="241"/>
        <v>406544</v>
      </c>
      <c r="N547" s="893">
        <f t="shared" si="241"/>
        <v>179927</v>
      </c>
      <c r="O547" s="893">
        <f t="shared" ca="1" si="237"/>
        <v>44.257694124129245</v>
      </c>
      <c r="P547" s="893">
        <f t="shared" ca="1" si="238"/>
        <v>44.257694124129245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IFERROR(__xludf.DUMMYFUNCTION("IMPORTRANGE(""https://docs.google.com/spreadsheets/d/1QqKyyYR6Q21VydFLVH3TRQUabQu_ym0Zz7PgGX0-kHA/edit?usp=sharing"",""แผน!HB32"")"),406544)</f>
        <v>406544</v>
      </c>
      <c r="M549" s="899">
        <f ca="1">L549</f>
        <v>406544</v>
      </c>
      <c r="N549" s="899">
        <f>N550+N551+N552+N553+N554</f>
        <v>179927</v>
      </c>
      <c r="O549" s="899">
        <f t="shared" ca="1" si="237"/>
        <v>44.257694124129245</v>
      </c>
      <c r="P549" s="899">
        <f t="shared" ca="1" si="238"/>
        <v>44.257694124129245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52000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31750+38870+9566+30538+6956+5247+5000</f>
        <v>127927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IFERROR(__xludf.DUMMYFUNCTION("IMPORTRANGE(""https://docs.google.com/spreadsheets/d/1QqKyyYR6Q21VydFLVH3TRQUabQu_ym0Zz7PgGX0-kHA/edit?usp=sharing"",""แผน!HF32"")"),0)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43969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IFERROR(__xludf.DUMMYFUNCTION("IMPORTRANGE(""https://docs.google.com/spreadsheets/d/1QqKyyYR6Q21VydFLVH3TRQUabQu_ym0Zz7PgGX0-kHA/edit?usp=sharing"",""แผน!HH32"")"),43969)</f>
        <v>43969</v>
      </c>
      <c r="J560" s="1030">
        <f t="shared" ref="J560:J561" si="247">J562+J564+J566</f>
        <v>43969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IFERROR(__xludf.DUMMYFUNCTION("IMPORTRANGE(""https://docs.google.com/spreadsheets/d/1QqKyyYR6Q21VydFLVH3TRQUabQu_ym0Zz7PgGX0-kHA/edit?usp=sharing"",""แผน!HG32"")"),4713)</f>
        <v>4713</v>
      </c>
      <c r="J561" s="1030">
        <f t="shared" si="247"/>
        <v>4713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34293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3886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8547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699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1129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128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IFERROR(__xludf.DUMMYFUNCTION("IMPORTRANGE(""https://docs.google.com/spreadsheets/d/1QqKyyYR6Q21VydFLVH3TRQUabQu_ym0Zz7PgGX0-kHA/edit?usp=sharing"",""แผน!HH32"")"),43969)</f>
        <v>43969</v>
      </c>
      <c r="J568" s="1031">
        <f t="shared" ref="J568:J569" si="248">J570+J572+J574</f>
        <v>43969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IFERROR(__xludf.DUMMYFUNCTION("IMPORTRANGE(""https://docs.google.com/spreadsheets/d/1QqKyyYR6Q21VydFLVH3TRQUabQu_ym0Zz7PgGX0-kHA/edit?usp=sharing"",""แผน!HG32"")"),4713)</f>
        <v>4713</v>
      </c>
      <c r="J569" s="1031">
        <f t="shared" si="248"/>
        <v>4713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35160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3964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7571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613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1238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136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IFERROR(__xludf.DUMMYFUNCTION("IMPORTRANGE(""https://docs.google.com/spreadsheets/d/1QqKyyYR6Q21VydFLVH3TRQUabQu_ym0Zz7PgGX0-kHA/edit?usp=sharing"",""แผน!HH32"")"),43969)</f>
        <v>43969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IFERROR(__xludf.DUMMYFUNCTION("IMPORTRANGE(""https://docs.google.com/spreadsheets/d/1QqKyyYR6Q21VydFLVH3TRQUabQu_ym0Zz7PgGX0-kHA/edit?usp=sharing"",""แผน!HG32"")"),4713)</f>
        <v>4713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1340.38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IFERROR(__xludf.DUMMYFUNCTION("IMPORTRANGE(""https://docs.google.com/spreadsheets/d/1QqKyyYR6Q21VydFLVH3TRQUabQu_ym0Zz7PgGX0-kHA/edit?usp=sharing"",""แผน!HJ32"")"),1340.38)</f>
        <v>1340.38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IFERROR(__xludf.DUMMYFUNCTION("IMPORTRANGE(""https://docs.google.com/spreadsheets/d/1QqKyyYR6Q21VydFLVH3TRQUabQu_ym0Zz7PgGX0-kHA/edit?usp=sharing"",""แผน!HI32"")"),137)</f>
        <v>137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IFERROR(__xludf.DUMMYFUNCTION("IMPORTRANGE(""https://docs.google.com/spreadsheets/d/1QqKyyYR6Q21VydFLVH3TRQUabQu_ym0Zz7PgGX0-kHA/edit?usp=sharing"",""แผน!HL32"")"),4)</f>
        <v>4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IFERROR(__xludf.DUMMYFUNCTION("IMPORTRANGE(""https://docs.google.com/spreadsheets/d/1QqKyyYR6Q21VydFLVH3TRQUabQu_ym0Zz7PgGX0-kHA/edit?usp=sharing"",""แผน!HK32"")"),3)</f>
        <v>3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100</v>
      </c>
      <c r="J628" s="1438">
        <f t="shared" ca="1" si="262"/>
        <v>69</v>
      </c>
      <c r="K628" s="1439">
        <f ca="1">IF(I628&gt;0,J628*100/I628,0)</f>
        <v>69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381515</v>
      </c>
      <c r="M629" s="1032">
        <f t="shared" ca="1" si="263"/>
        <v>381515</v>
      </c>
      <c r="N629" s="1032">
        <f t="shared" si="263"/>
        <v>223703.87</v>
      </c>
      <c r="O629" s="1032">
        <f t="shared" ref="O629:O634" ca="1" si="264">IF(L629&gt;0,N629*100/L629,0)</f>
        <v>58.635668322346433</v>
      </c>
      <c r="P629" s="1032">
        <f t="shared" ref="P629:P634" ca="1" si="265">IF(M629&gt;0,N629*100/M629,0)</f>
        <v>58.635668322346433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381515</v>
      </c>
      <c r="M631" s="899">
        <f t="shared" ca="1" si="266"/>
        <v>381515</v>
      </c>
      <c r="N631" s="899">
        <f t="shared" si="266"/>
        <v>223703.87</v>
      </c>
      <c r="O631" s="899">
        <f t="shared" ca="1" si="264"/>
        <v>58.635668322346433</v>
      </c>
      <c r="P631" s="899">
        <f t="shared" ca="1" si="265"/>
        <v>58.635668322346433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381515</v>
      </c>
      <c r="M632" s="893">
        <f t="shared" ca="1" si="267"/>
        <v>381515</v>
      </c>
      <c r="N632" s="893">
        <f t="shared" si="267"/>
        <v>223703.87</v>
      </c>
      <c r="O632" s="893">
        <f t="shared" ca="1" si="264"/>
        <v>58.635668322346433</v>
      </c>
      <c r="P632" s="893">
        <f t="shared" ca="1" si="265"/>
        <v>58.635668322346433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IFERROR(__xludf.DUMMYFUNCTION("IMPORTRANGE(""https://docs.google.com/spreadsheets/d/1QqKyyYR6Q21VydFLVH3TRQUabQu_ym0Zz7PgGX0-kHA/edit?usp=sharing"",""แผน!HN32"")"),381515)</f>
        <v>381515</v>
      </c>
      <c r="M634" s="899">
        <f ca="1">L634</f>
        <v>381515</v>
      </c>
      <c r="N634" s="899">
        <f>N635+N636+N637+N638</f>
        <v>223703.87</v>
      </c>
      <c r="O634" s="899">
        <f t="shared" ca="1" si="264"/>
        <v>58.635668322346433</v>
      </c>
      <c r="P634" s="899">
        <f t="shared" ca="1" si="265"/>
        <v>58.635668322346433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49858.29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38180+20280+70250+1750+15000+21500+6885.58</f>
        <v>173845.58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IFERROR(__xludf.DUMMYFUNCTION("IMPORTRANGE(""https://docs.google.com/spreadsheets/d/1QqKyyYR6Q21VydFLVH3TRQUabQu_ym0Zz7PgGX0-kHA/edit?usp=sharing"",""แผน!HQ32"")"),0)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IFERROR(__xludf.DUMMYFUNCTION("IMPORTRANGE(""https://docs.google.com/spreadsheets/d/1QqKyyYR6Q21VydFLVH3TRQUabQu_ym0Zz7PgGX0-kHA/edit?usp=sharing"",""แผน!HR32"")"),0)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IFERROR(__xludf.DUMMYFUNCTION("IMPORTRANGE(""https://docs.google.com/spreadsheets/d/1QqKyyYR6Q21VydFLVH3TRQUabQu_ym0Zz7PgGX0-kHA/edit?usp=sharing"",""แผน!HR32"")"),0)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IFERROR(__xludf.DUMMYFUNCTION("IMPORTRANGE(""https://docs.google.com/spreadsheets/d/1XWAQStnk-4SwqDmLtmXYiTMKHgktTP8We1SCoS47DrQ/edit?usp=sharing"",""จัดที่ดิน!AS32"")"),115)</f>
        <v>115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IFERROR(__xludf.DUMMYFUNCTION("IMPORTRANGE(""https://docs.google.com/spreadsheets/d/1XWAQStnk-4SwqDmLtmXYiTMKHgktTP8We1SCoS47DrQ/edit?usp=sharing"",""จัดที่ดิน!AT32"")"),66)</f>
        <v>66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IFERROR(__xludf.DUMMYFUNCTION("IMPORTRANGE(""https://docs.google.com/spreadsheets/d/1QqKyyYR6Q21VydFLVH3TRQUabQu_ym0Zz7PgGX0-kHA/edit?usp=sharing"",""แผน!HS32"")"),100)</f>
        <v>100</v>
      </c>
      <c r="J647" s="892">
        <f ca="1">IFERROR(__xludf.DUMMYFUNCTION("IMPORTRANGE(""https://docs.google.com/spreadsheets/d/1XWAQStnk-4SwqDmLtmXYiTMKHgktTP8We1SCoS47DrQ/edit?usp=sharing"",""จัดที่ดิน!AU32"")"),143)</f>
        <v>143</v>
      </c>
      <c r="K647" s="1010">
        <f t="shared" ca="1" si="271"/>
        <v>143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IFERROR(__xludf.DUMMYFUNCTION("IMPORTRANGE(""https://docs.google.com/spreadsheets/d/1XWAQStnk-4SwqDmLtmXYiTMKHgktTP8We1SCoS47DrQ/edit?usp=sharing"",""จัดที่ดิน!AV32"")"),85.79)</f>
        <v>85.79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IFERROR(__xludf.DUMMYFUNCTION("IMPORTRANGE(""https://docs.google.com/spreadsheets/d/1QqKyyYR6Q21VydFLVH3TRQUabQu_ym0Zz7PgGX0-kHA/edit?usp=sharing"",""แผน!HS32"")"),100)</f>
        <v>100</v>
      </c>
      <c r="J649" s="892">
        <f ca="1">IFERROR(__xludf.DUMMYFUNCTION("IMPORTRANGE(""https://docs.google.com/spreadsheets/d/1XWAQStnk-4SwqDmLtmXYiTMKHgktTP8We1SCoS47DrQ/edit?usp=sharing"",""จัดที่ดิน!AW32"")"),125)</f>
        <v>125</v>
      </c>
      <c r="K649" s="1010">
        <f t="shared" ca="1" si="271"/>
        <v>125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IFERROR(__xludf.DUMMYFUNCTION("IMPORTRANGE(""https://docs.google.com/spreadsheets/d/1XWAQStnk-4SwqDmLtmXYiTMKHgktTP8We1SCoS47DrQ/edit?usp=sharing"",""จัดที่ดิน!AX32"")"),71.7)</f>
        <v>71.7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IFERROR(__xludf.DUMMYFUNCTION("IMPORTRANGE(""https://docs.google.com/spreadsheets/d/1QqKyyYR6Q21VydFLVH3TRQUabQu_ym0Zz7PgGX0-kHA/edit?usp=sharing"",""แผน!HS32"")"),100)</f>
        <v>100</v>
      </c>
      <c r="J651" s="892">
        <f ca="1">IFERROR(__xludf.DUMMYFUNCTION("IMPORTRANGE(""https://docs.google.com/spreadsheets/d/1XWAQStnk-4SwqDmLtmXYiTMKHgktTP8We1SCoS47DrQ/edit?usp=sharing"",""จัดที่ดิน!AY32"")"),69)</f>
        <v>69</v>
      </c>
      <c r="K651" s="1010">
        <f t="shared" ca="1" si="271"/>
        <v>69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IFERROR(__xludf.DUMMYFUNCTION("IMPORTRANGE(""https://docs.google.com/spreadsheets/d/1XWAQStnk-4SwqDmLtmXYiTMKHgktTP8We1SCoS47DrQ/edit?usp=sharing"",""จัดที่ดิน!AZ32"")"),38.005)</f>
        <v>38.005000000000003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3690</v>
      </c>
      <c r="O655" s="1032">
        <f t="shared" ref="O655:O660" ca="1" si="274">IF(L655&gt;0,N655*100/L655,0)</f>
        <v>23.653846153846153</v>
      </c>
      <c r="P655" s="1032">
        <f t="shared" ref="P655:P660" ca="1" si="275">IF(M655&gt;0,N655*100/M655,0)</f>
        <v>23.653846153846153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3690</v>
      </c>
      <c r="O657" s="899">
        <f t="shared" ca="1" si="274"/>
        <v>23.653846153846153</v>
      </c>
      <c r="P657" s="899">
        <f t="shared" ca="1" si="275"/>
        <v>23.653846153846153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3690</v>
      </c>
      <c r="O658" s="893">
        <f t="shared" ca="1" si="274"/>
        <v>23.653846153846153</v>
      </c>
      <c r="P658" s="893">
        <f t="shared" ca="1" si="275"/>
        <v>23.653846153846153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IFERROR(__xludf.DUMMYFUNCTION("IMPORTRANGE(""https://docs.google.com/spreadsheets/d/1QqKyyYR6Q21VydFLVH3TRQUabQu_ym0Zz7PgGX0-kHA/edit?usp=sharing"",""แผน!HV32"")"),15600)</f>
        <v>15600</v>
      </c>
      <c r="M660" s="899">
        <f ca="1">L660</f>
        <v>15600</v>
      </c>
      <c r="N660" s="899">
        <f>N661+N662+N663+N664</f>
        <v>3690</v>
      </c>
      <c r="O660" s="899">
        <f t="shared" ca="1" si="274"/>
        <v>23.653846153846153</v>
      </c>
      <c r="P660" s="899">
        <f t="shared" ca="1" si="275"/>
        <v>23.653846153846153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f>3100+590</f>
        <v>3690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IFERROR(__xludf.DUMMYFUNCTION("IMPORTRANGE(""https://docs.google.com/spreadsheets/d/1QqKyyYR6Q21VydFLVH3TRQUabQu_ym0Zz7PgGX0-kHA/edit?usp=sharing"",""แผน!IA32"")"),100)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IFERROR(__xludf.DUMMYFUNCTION("IMPORTRANGE(""https://docs.google.com/spreadsheets/d/1QqKyyYR6Q21VydFLVH3TRQUabQu_ym0Zz7PgGX0-kHA/edit?usp=sharing"",""แผน!HZ32"")"),6)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IFERROR(__xludf.DUMMYFUNCTION("IMPORTRANGE(""https://docs.google.com/spreadsheets/d/1QqKyyYR6Q21VydFLVH3TRQUabQu_ym0Zz7PgGX0-kHA/edit?usp=sharing"",""แผน!HZ32"")"),6)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154</v>
      </c>
      <c r="K672" s="893">
        <f t="shared" ref="K672:K675" ca="1" si="281">IF(I$669&gt;0,J672*100/I$669,0)</f>
        <v>154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154</v>
      </c>
      <c r="K673" s="893">
        <f t="shared" ca="1" si="281"/>
        <v>154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IFERROR(__xludf.DUMMYFUNCTION("IMPORTRANGE(""https://docs.google.com/spreadsheets/d/1QqKyyYR6Q21VydFLVH3TRQUabQu_ym0Zz7PgGX0-kHA/edit?usp=sharing"",""แผน!IB32"")"),0)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7440</v>
      </c>
      <c r="M685" s="1032">
        <f t="shared" ca="1" si="282"/>
        <v>7440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7440</v>
      </c>
      <c r="M687" s="899">
        <f t="shared" ca="1" si="285"/>
        <v>7440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7440</v>
      </c>
      <c r="M688" s="893">
        <f t="shared" ca="1" si="286"/>
        <v>7440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IFERROR(__xludf.DUMMYFUNCTION("IMPORTRANGE(""https://docs.google.com/spreadsheets/d/1QqKyyYR6Q21VydFLVH3TRQUabQu_ym0Zz7PgGX0-kHA/edit?usp=sharing"",""แผน!HW32"")"),7440)</f>
        <v>7440</v>
      </c>
      <c r="M690" s="899">
        <f ca="1">L690</f>
        <v>7440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IFERROR(__xludf.DUMMYFUNCTION("IMPORTRANGE(""https://docs.google.com/spreadsheets/d/1QqKyyYR6Q21VydFLVH3TRQUabQu_ym0Zz7PgGX0-kHA/edit?usp=sharing"",""แผน!IC32"")"),0)</f>
        <v>0</v>
      </c>
      <c r="J699" s="892">
        <f ca="1">IFERROR(__xludf.DUMMYFUNCTION("IMPORTRANGE(""https://docs.google.com/spreadsheets/d/1XWAQStnk-4SwqDmLtmXYiTMKHgktTP8We1SCoS47DrQ/edit?usp=sharing"",""จัดที่ดิน!BB32"")"),0)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IFERROR(__xludf.DUMMYFUNCTION("IMPORTRANGE(""https://docs.google.com/spreadsheets/d/1QqKyyYR6Q21VydFLVH3TRQUabQu_ym0Zz7PgGX0-kHA/edit?usp=sharing"",""แผน!ID32"")"),50)</f>
        <v>50</v>
      </c>
      <c r="J700" s="892">
        <f ca="1">IFERROR(__xludf.DUMMYFUNCTION("IMPORTRANGE(""https://docs.google.com/spreadsheets/d/1XWAQStnk-4SwqDmLtmXYiTMKHgktTP8We1SCoS47DrQ/edit?usp=sharing"",""จัดที่ดิน!BD32"")"),37)</f>
        <v>37</v>
      </c>
      <c r="K700" s="893">
        <f t="shared" ca="1" si="290"/>
        <v>74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IFERROR(__xludf.DUMMYFUNCTION("IMPORTRANGE(""https://docs.google.com/spreadsheets/d/1QqKyyYR6Q21VydFLVH3TRQUabQu_ym0Zz7PgGX0-kHA/edit?usp=sharing"",""แผน!IE32"")"),4)</f>
        <v>4</v>
      </c>
      <c r="J701" s="1031">
        <f>J704+J707</f>
        <v>4</v>
      </c>
      <c r="K701" s="1032">
        <f t="shared" ca="1" si="290"/>
        <v>100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IFERROR(__xludf.DUMMYFUNCTION("IMPORTRANGE(""https://docs.google.com/spreadsheets/d/1QqKyyYR6Q21VydFLVH3TRQUabQu_ym0Zz7PgGX0-kHA/edit?usp=sharing"",""แผน!IF32"")"),4)</f>
        <v>4</v>
      </c>
      <c r="J704" s="1024">
        <v>4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IFERROR(__xludf.DUMMYFUNCTION("IMPORTRANGE(""https://docs.google.com/spreadsheets/d/1QqKyyYR6Q21VydFLVH3TRQUabQu_ym0Zz7PgGX0-kHA/edit?usp=sharing"",""แผน!IG32"")"),0)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IFERROR(__xludf.DUMMYFUNCTION("IMPORTRANGE(""https://docs.google.com/spreadsheets/d/1QqKyyYR6Q21VydFLVH3TRQUabQu_ym0Zz7PgGX0-kHA/edit?usp=sharing"",""แผน!IH32"")"),0)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IFERROR(__xludf.DUMMYFUNCTION("IMPORTRANGE(""https://docs.google.com/spreadsheets/d/1XWAQStnk-4SwqDmLtmXYiTMKHgktTP8We1SCoS47DrQ/edit?usp=sharing"",""จัดที่ดิน!BF32"")"),0)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IFERROR(__xludf.DUMMYFUNCTION("IMPORTRANGE(""https://docs.google.com/spreadsheets/d/1XWAQStnk-4SwqDmLtmXYiTMKHgktTP8We1SCoS47DrQ/edit?usp=sharing"",""จัดที่ดิน!BG32"")"),0)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IFERROR(__xludf.DUMMYFUNCTION("IMPORTRANGE(""https://docs.google.com/spreadsheets/d/1QqKyyYR6Q21VydFLVH3TRQUabQu_ym0Zz7PgGX0-kHA/edit?usp=sharing"",""แผน!II32"")"),0)</f>
        <v>0</v>
      </c>
      <c r="J720" s="892">
        <f ca="1">IFERROR(__xludf.DUMMYFUNCTION("IMPORTRANGE(""https://docs.google.com/spreadsheets/d/1XWAQStnk-4SwqDmLtmXYiTMKHgktTP8We1SCoS47DrQ/edit?usp=sharing"",""จัดที่ดิน!BH32"")"),0)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IFERROR(__xludf.DUMMYFUNCTION("IMPORTRANGE(""https://docs.google.com/spreadsheets/d/1QqKyyYR6Q21VydFLVH3TRQUabQu_ym0Zz7PgGX0-kHA/edit?usp=sharing"",""แผน!IJ32"")"),3)</f>
        <v>3</v>
      </c>
      <c r="J721" s="1031">
        <f ca="1">J723+J726</f>
        <v>3</v>
      </c>
      <c r="K721" s="1032">
        <f t="shared" ca="1" si="291"/>
        <v>100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IFERROR(__xludf.DUMMYFUNCTION("IMPORTRANGE(""https://docs.google.com/spreadsheets/d/1QqKyyYR6Q21VydFLVH3TRQUabQu_ym0Zz7PgGX0-kHA/edit?usp=sharing"",""แผน!IK32"")"),2)</f>
        <v>2</v>
      </c>
      <c r="J722" s="1031">
        <f ca="1">J725+J728</f>
        <v>44.59</v>
      </c>
      <c r="K722" s="1032">
        <f t="shared" ca="1" si="291"/>
        <v>2229.5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IFERROR(__xludf.DUMMYFUNCTION("IMPORTRANGE(""https://docs.google.com/spreadsheets/d/1QqKyyYR6Q21VydFLVH3TRQUabQu_ym0Zz7PgGX0-kHA/edit?usp=sharing"",""แผน!IL32"")"),3)</f>
        <v>3</v>
      </c>
      <c r="J723" s="892">
        <f ca="1">IFERROR(__xludf.DUMMYFUNCTION("IMPORTRANGE(""https://docs.google.com/spreadsheets/d/1XWAQStnk-4SwqDmLtmXYiTMKHgktTP8We1SCoS47DrQ/edit?usp=sharing"",""จัดที่ดิน!BM32"")"),3)</f>
        <v>3</v>
      </c>
      <c r="K723" s="893">
        <f t="shared" ca="1" si="291"/>
        <v>100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IFERROR(__xludf.DUMMYFUNCTION("IMPORTRANGE(""https://docs.google.com/spreadsheets/d/1XWAQStnk-4SwqDmLtmXYiTMKHgktTP8We1SCoS47DrQ/edit?usp=sharing"",""จัดที่ดิน!BN32"")"),3)</f>
        <v>3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IFERROR(__xludf.DUMMYFUNCTION("IMPORTRANGE(""https://docs.google.com/spreadsheets/d/1QqKyyYR6Q21VydFLVH3TRQUabQu_ym0Zz7PgGX0-kHA/edit?usp=sharing"",""แผน!IM32"")"),2)</f>
        <v>2</v>
      </c>
      <c r="J725" s="892">
        <f ca="1">IFERROR(__xludf.DUMMYFUNCTION("IMPORTRANGE(""https://docs.google.com/spreadsheets/d/1XWAQStnk-4SwqDmLtmXYiTMKHgktTP8We1SCoS47DrQ/edit?usp=sharing"",""จัดที่ดิน!BO32"")"),44.59)</f>
        <v>44.59</v>
      </c>
      <c r="K725" s="893">
        <f t="shared" ref="K725:K726" ca="1" si="292">IF(I725&gt;0,J725*100/I725,0)</f>
        <v>2229.5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IFERROR(__xludf.DUMMYFUNCTION("IMPORTRANGE(""https://docs.google.com/spreadsheets/d/1QqKyyYR6Q21VydFLVH3TRQUabQu_ym0Zz7PgGX0-kHA/edit?usp=sharing"",""แผน!IN32"")"),0)</f>
        <v>0</v>
      </c>
      <c r="J726" s="892">
        <f ca="1">IFERROR(__xludf.DUMMYFUNCTION("IMPORTRANGE(""https://docs.google.com/spreadsheets/d/1XWAQStnk-4SwqDmLtmXYiTMKHgktTP8We1SCoS47DrQ/edit?usp=sharing"",""จัดที่ดิน!BR32"")"),0)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IFERROR(__xludf.DUMMYFUNCTION("IMPORTRANGE(""https://docs.google.com/spreadsheets/d/1XWAQStnk-4SwqDmLtmXYiTMKHgktTP8We1SCoS47DrQ/edit?usp=sharing"",""จัดที่ดิน!BS32"")"),0)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IFERROR(__xludf.DUMMYFUNCTION("IMPORTRANGE(""https://docs.google.com/spreadsheets/d/1QqKyyYR6Q21VydFLVH3TRQUabQu_ym0Zz7PgGX0-kHA/edit?usp=sharing"",""แผน!IO32"")"),0)</f>
        <v>0</v>
      </c>
      <c r="J728" s="892">
        <f ca="1">IFERROR(__xludf.DUMMYFUNCTION("IMPORTRANGE(""https://docs.google.com/spreadsheets/d/1XWAQStnk-4SwqDmLtmXYiTMKHgktTP8We1SCoS47DrQ/edit?usp=sharing"",""จัดที่ดิน!BT32"")"),0)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IFERROR(__xludf.DUMMYFUNCTION("IMPORTRANGE(""https://docs.google.com/spreadsheets/d/1QqKyyYR6Q21VydFLVH3TRQUabQu_ym0Zz7PgGX0-kHA/edit?usp=sharing"",""แผน!IP32"")"),0)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IFERROR(__xludf.DUMMYFUNCTION("IMPORTRANGE(""https://docs.google.com/spreadsheets/d/1QqKyyYR6Q21VydFLVH3TRQUabQu_ym0Zz7PgGX0-kHA/edit?usp=sharing"",""แผน!JJ32"")"),0)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IFERROR(__xludf.DUMMYFUNCTION("IMPORTRANGE(""https://docs.google.com/spreadsheets/d/1QqKyyYR6Q21VydFLVH3TRQUabQu_ym0Zz7PgGX0-kHA/edit?usp=sharing"",""แผน!JN32"")"),0)</f>
        <v>0</v>
      </c>
      <c r="J800" s="1009">
        <f ca="1">IFERROR(__xludf.DUMMYFUNCTION("IMPORTRANGE(""https://docs.google.com/spreadsheets/d/1MaWodYyGHDf7siQLGxnXhG4mBNTNIuy296niS2xXulU/edit?usp=sharing"",""RTK!H32"")"),0)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IFERROR(__xludf.DUMMYFUNCTION("IMPORTRANGE(""https://docs.google.com/spreadsheets/d/1MaWodYyGHDf7siQLGxnXhG4mBNTNIuy296niS2xXulU/edit?usp=sharing"",""RTK!I32"")"),0)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336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892">
        <f ca="1">IFERROR(__xludf.DUMMYFUNCTION("IMPORTRANGE(""https://docs.google.com/spreadsheets/d/19vJNZY_5yjcGF2XGBMNZRCAIB0Kwfpjp8YEOfu-bneM/edit?usp=sharing"",""งานกองทุน!F32"")"),3817386.96)</f>
        <v>3817386.96</v>
      </c>
      <c r="K821" s="893">
        <f t="shared" ref="K821:K828" ca="1" si="335">IF(I821&gt;0,J821*100/I821,0)</f>
        <v>101.36001608362247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IFERROR(__xludf.DUMMYFUNCTION("IMPORTRANGE(""https://docs.google.com/spreadsheets/d/19vJNZY_5yjcGF2XGBMNZRCAIB0Kwfpjp8YEOfu-bneM/edit?usp=sharing"",""งานกองทุน!C32"")"),247)</f>
        <v>247</v>
      </c>
      <c r="J822" s="892">
        <f ca="1">IFERROR(__xludf.DUMMYFUNCTION("IMPORTRANGE(""https://docs.google.com/spreadsheets/d/19vJNZY_5yjcGF2XGBMNZRCAIB0Kwfpjp8YEOfu-bneM/edit?usp=sharing"",""งานกองทุน!E32"")"),215)</f>
        <v>215</v>
      </c>
      <c r="K822" s="893">
        <f t="shared" ca="1" si="335"/>
        <v>87.044534412955471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892">
        <f ca="1">IFERROR(__xludf.DUMMYFUNCTION("IMPORTRANGE(""https://docs.google.com/spreadsheets/d/19vJNZY_5yjcGF2XGBMNZRCAIB0Kwfpjp8YEOfu-bneM/edit?usp=sharing"",""งานกองทุน!K32"")"),1210383.56)</f>
        <v>1210383.56</v>
      </c>
      <c r="K823" s="893">
        <f t="shared" ca="1" si="335"/>
        <v>11.874926279831138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IFERROR(__xludf.DUMMYFUNCTION("IMPORTRANGE(""https://docs.google.com/spreadsheets/d/19vJNZY_5yjcGF2XGBMNZRCAIB0Kwfpjp8YEOfu-bneM/edit?usp=sharing"",""งานกองทุน!H32"")"),488)</f>
        <v>488</v>
      </c>
      <c r="J824" s="892">
        <f ca="1">IFERROR(__xludf.DUMMYFUNCTION("IMPORTRANGE(""https://docs.google.com/spreadsheets/d/19vJNZY_5yjcGF2XGBMNZRCAIB0Kwfpjp8YEOfu-bneM/edit?usp=sharing"",""งานกองทุน!J32"")"),146)</f>
        <v>146</v>
      </c>
      <c r="K824" s="893">
        <f t="shared" ca="1" si="335"/>
        <v>29.918032786885245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892">
        <f ca="1">IFERROR(__xludf.DUMMYFUNCTION("IMPORTRANGE(""https://docs.google.com/spreadsheets/d/19vJNZY_5yjcGF2XGBMNZRCAIB0Kwfpjp8YEOfu-bneM/edit?usp=sharing"",""งานกองทุน!P32"")"),259765.06)</f>
        <v>259765.06</v>
      </c>
      <c r="K825" s="893">
        <f t="shared" ca="1" si="335"/>
        <v>10.27933053831951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IFERROR(__xludf.DUMMYFUNCTION("IMPORTRANGE(""https://docs.google.com/spreadsheets/d/19vJNZY_5yjcGF2XGBMNZRCAIB0Kwfpjp8YEOfu-bneM/edit?usp=sharing"",""งานกองทุน!M32"")"),185)</f>
        <v>185</v>
      </c>
      <c r="J826" s="892">
        <f ca="1">IFERROR(__xludf.DUMMYFUNCTION("IMPORTRANGE(""https://docs.google.com/spreadsheets/d/19vJNZY_5yjcGF2XGBMNZRCAIB0Kwfpjp8YEOfu-bneM/edit?usp=sharing"",""งานกองทุน!O32"")"),83)</f>
        <v>83</v>
      </c>
      <c r="K826" s="893">
        <f t="shared" ca="1" si="335"/>
        <v>44.864864864864863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IFERROR(__xludf.DUMMYFUNCTION("IMPORTRANGE(""https://docs.google.com/spreadsheets/d/19vJNZY_5yjcGF2XGBMNZRCAIB0Kwfpjp8YEOfu-bneM/edit?usp=sharing"",""งานกองทุน!S32"")"),5730000)</f>
        <v>5730000</v>
      </c>
      <c r="J827" s="892">
        <f ca="1">IFERROR(__xludf.DUMMYFUNCTION("IMPORTRANGE(""https://docs.google.com/spreadsheets/d/19vJNZY_5yjcGF2XGBMNZRCAIB0Kwfpjp8YEOfu-bneM/edit?usp=sharing"",""งานกองทุน!U32"")"),5730000)</f>
        <v>5730000</v>
      </c>
      <c r="K827" s="893">
        <f t="shared" ca="1" si="335"/>
        <v>100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IFERROR(__xludf.DUMMYFUNCTION("IMPORTRANGE(""https://docs.google.com/spreadsheets/d/19vJNZY_5yjcGF2XGBMNZRCAIB0Kwfpjp8YEOfu-bneM/edit?usp=sharing"",""งานกองทุน!R32"")"),229)</f>
        <v>229</v>
      </c>
      <c r="J828" s="1149">
        <f ca="1">IFERROR(__xludf.DUMMYFUNCTION("IMPORTRANGE(""https://docs.google.com/spreadsheets/d/19vJNZY_5yjcGF2XGBMNZRCAIB0Kwfpjp8YEOfu-bneM/edit?usp=sharing"",""งานกองทุน!T32"")"),132)</f>
        <v>132</v>
      </c>
      <c r="K828" s="1251">
        <f t="shared" ca="1" si="335"/>
        <v>57.64192139737991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19A6-34BE-432F-8F65-3CB965EEC655}">
  <sheetPr>
    <outlinePr summaryBelow="0" summaryRight="0"/>
    <pageSetUpPr fitToPage="1"/>
  </sheetPr>
  <dimension ref="A1:Z1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337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6245247</v>
      </c>
      <c r="M8" s="879">
        <f t="shared" ca="1" si="0"/>
        <v>5571006</v>
      </c>
      <c r="N8" s="879">
        <f t="shared" ca="1" si="0"/>
        <v>3585648.5699999994</v>
      </c>
      <c r="O8" s="879">
        <f t="shared" ref="O8:O16" ca="1" si="1">IF(L8&gt;0,N8*100/L8,0)</f>
        <v>57.414039348643847</v>
      </c>
      <c r="P8" s="879">
        <f t="shared" ref="P8:P16" ca="1" si="2">IF(M8&gt;0,N8*100/M8,0)</f>
        <v>64.362676507618175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6245247</v>
      </c>
      <c r="M10" s="886">
        <f t="shared" ca="1" si="3"/>
        <v>5571006</v>
      </c>
      <c r="N10" s="886">
        <f t="shared" ca="1" si="3"/>
        <v>3585648.5699999994</v>
      </c>
      <c r="O10" s="886">
        <f t="shared" ca="1" si="1"/>
        <v>57.414039348643847</v>
      </c>
      <c r="P10" s="886">
        <f t="shared" ca="1" si="2"/>
        <v>64.362676507618175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6115247</v>
      </c>
      <c r="M11" s="893">
        <f t="shared" ca="1" si="4"/>
        <v>5441606</v>
      </c>
      <c r="N11" s="893">
        <f t="shared" ca="1" si="4"/>
        <v>3456248.5699999994</v>
      </c>
      <c r="O11" s="893">
        <f t="shared" ca="1" si="1"/>
        <v>56.518544058809063</v>
      </c>
      <c r="P11" s="893">
        <f t="shared" ca="1" si="2"/>
        <v>63.515230062595478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6115247</v>
      </c>
      <c r="M13" s="899">
        <f t="shared" ca="1" si="5"/>
        <v>5441606</v>
      </c>
      <c r="N13" s="899">
        <f t="shared" ca="1" si="5"/>
        <v>3456248.5699999994</v>
      </c>
      <c r="O13" s="899">
        <f t="shared" ca="1" si="1"/>
        <v>56.518544058809063</v>
      </c>
      <c r="P13" s="899">
        <f t="shared" ca="1" si="2"/>
        <v>63.515230062595478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130000</v>
      </c>
      <c r="M14" s="893">
        <f t="shared" ca="1" si="6"/>
        <v>129400</v>
      </c>
      <c r="N14" s="893">
        <f t="shared" ca="1" si="6"/>
        <v>129400</v>
      </c>
      <c r="O14" s="893">
        <f t="shared" ca="1" si="1"/>
        <v>99.538461538461533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130000</v>
      </c>
      <c r="M16" s="905">
        <f t="shared" ca="1" si="7"/>
        <v>129400</v>
      </c>
      <c r="N16" s="905">
        <f t="shared" ca="1" si="7"/>
        <v>129400</v>
      </c>
      <c r="O16" s="905">
        <f t="shared" ca="1" si="1"/>
        <v>99.538461538461533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4585736</v>
      </c>
      <c r="M18" s="879">
        <f t="shared" ca="1" si="8"/>
        <v>3911495</v>
      </c>
      <c r="N18" s="879">
        <f t="shared" ca="1" si="8"/>
        <v>3030944.3699999996</v>
      </c>
      <c r="O18" s="879">
        <f t="shared" ref="O18:O26" ca="1" si="9">IF(L18&gt;0,N18*100/L18,0)</f>
        <v>66.095047120026081</v>
      </c>
      <c r="P18" s="879">
        <f t="shared" ref="P18:P26" ca="1" si="10">IF(M18&gt;0,N18*100/M18,0)</f>
        <v>77.488131008731941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4585736</v>
      </c>
      <c r="M20" s="886">
        <f t="shared" ca="1" si="11"/>
        <v>3911495</v>
      </c>
      <c r="N20" s="886">
        <f t="shared" ca="1" si="11"/>
        <v>3030944.3699999996</v>
      </c>
      <c r="O20" s="886">
        <f t="shared" ca="1" si="9"/>
        <v>66.095047120026081</v>
      </c>
      <c r="P20" s="886">
        <f t="shared" ca="1" si="10"/>
        <v>77.488131008731941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4455736</v>
      </c>
      <c r="M21" s="893">
        <f t="shared" ca="1" si="12"/>
        <v>3782095</v>
      </c>
      <c r="N21" s="893">
        <f t="shared" ca="1" si="12"/>
        <v>2901544.3699999996</v>
      </c>
      <c r="O21" s="893">
        <f t="shared" ca="1" si="9"/>
        <v>65.119306215628555</v>
      </c>
      <c r="P21" s="893">
        <f t="shared" ca="1" si="10"/>
        <v>76.717913484457668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4455736</v>
      </c>
      <c r="M23" s="899">
        <f t="shared" ca="1" si="13"/>
        <v>3782095</v>
      </c>
      <c r="N23" s="899">
        <f t="shared" ca="1" si="13"/>
        <v>2901544.3699999996</v>
      </c>
      <c r="O23" s="899">
        <f t="shared" ca="1" si="9"/>
        <v>65.119306215628555</v>
      </c>
      <c r="P23" s="899">
        <f t="shared" ca="1" si="10"/>
        <v>76.717913484457668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130000</v>
      </c>
      <c r="M24" s="893">
        <f t="shared" ca="1" si="14"/>
        <v>129400</v>
      </c>
      <c r="N24" s="893">
        <f t="shared" ca="1" si="14"/>
        <v>129400</v>
      </c>
      <c r="O24" s="893">
        <f t="shared" ca="1" si="9"/>
        <v>99.538461538461533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130000</v>
      </c>
      <c r="M26" s="905">
        <f t="shared" ca="1" si="15"/>
        <v>129400</v>
      </c>
      <c r="N26" s="905">
        <f t="shared" ca="1" si="15"/>
        <v>129400</v>
      </c>
      <c r="O26" s="905">
        <f t="shared" ca="1" si="9"/>
        <v>99.538461538461533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1659511</v>
      </c>
      <c r="M28" s="879">
        <f t="shared" ca="1" si="16"/>
        <v>1659511</v>
      </c>
      <c r="N28" s="879">
        <f t="shared" si="16"/>
        <v>554704.19999999995</v>
      </c>
      <c r="O28" s="879">
        <f t="shared" ref="O28:O37" ca="1" si="17">IF(L28&gt;0,N28*100/L28,0)</f>
        <v>33.425762167289037</v>
      </c>
      <c r="P28" s="879">
        <f t="shared" ref="P28:P37" ca="1" si="18">IF(M28&gt;0,N28*100/M28,0)</f>
        <v>33.425762167289037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1659511</v>
      </c>
      <c r="M30" s="886">
        <f t="shared" ca="1" si="19"/>
        <v>1659511</v>
      </c>
      <c r="N30" s="886">
        <f t="shared" si="19"/>
        <v>554704.19999999995</v>
      </c>
      <c r="O30" s="886">
        <f t="shared" ca="1" si="17"/>
        <v>33.425762167289037</v>
      </c>
      <c r="P30" s="886">
        <f t="shared" ca="1" si="18"/>
        <v>33.425762167289037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1659511</v>
      </c>
      <c r="M31" s="893">
        <f t="shared" ca="1" si="20"/>
        <v>1659511</v>
      </c>
      <c r="N31" s="893">
        <f t="shared" si="20"/>
        <v>554704.19999999995</v>
      </c>
      <c r="O31" s="893">
        <f t="shared" ca="1" si="17"/>
        <v>33.425762167289037</v>
      </c>
      <c r="P31" s="893">
        <f t="shared" ca="1" si="18"/>
        <v>33.425762167289037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1659511</v>
      </c>
      <c r="M33" s="899">
        <f t="shared" ca="1" si="21"/>
        <v>1659511</v>
      </c>
      <c r="N33" s="899">
        <f t="shared" si="21"/>
        <v>554704.19999999995</v>
      </c>
      <c r="O33" s="899">
        <f t="shared" ca="1" si="17"/>
        <v>33.425762167289037</v>
      </c>
      <c r="P33" s="899">
        <f t="shared" ca="1" si="18"/>
        <v>33.425762167289037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4585736</v>
      </c>
      <c r="M37" s="912">
        <f t="shared" ca="1" si="24"/>
        <v>3911495</v>
      </c>
      <c r="N37" s="912">
        <f t="shared" ca="1" si="24"/>
        <v>3030944.3699999996</v>
      </c>
      <c r="O37" s="912">
        <f t="shared" ca="1" si="17"/>
        <v>66.095047120026081</v>
      </c>
      <c r="P37" s="912">
        <f t="shared" ca="1" si="18"/>
        <v>77.488131008731941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789046</v>
      </c>
      <c r="M41" s="938">
        <f t="shared" ca="1" si="25"/>
        <v>798350</v>
      </c>
      <c r="N41" s="938">
        <f t="shared" ca="1" si="25"/>
        <v>512766.12</v>
      </c>
      <c r="O41" s="938">
        <f t="shared" ref="O41:O49" ca="1" si="26">IF(L41&gt;0,N41*100/L41,0)</f>
        <v>64.985580054901746</v>
      </c>
      <c r="P41" s="938">
        <f t="shared" ref="P41:P49" ca="1" si="27">IF(M41&gt;0,N41*100/M41,0)</f>
        <v>64.228235736205932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789046</v>
      </c>
      <c r="M43" s="944">
        <f t="shared" ca="1" si="28"/>
        <v>798350</v>
      </c>
      <c r="N43" s="944">
        <f t="shared" ca="1" si="28"/>
        <v>512766.12</v>
      </c>
      <c r="O43" s="944">
        <f t="shared" ca="1" si="26"/>
        <v>64.985580054901746</v>
      </c>
      <c r="P43" s="944">
        <f t="shared" ca="1" si="27"/>
        <v>64.228235736205932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789046</v>
      </c>
      <c r="M44" s="893">
        <f t="shared" ca="1" si="29"/>
        <v>798350</v>
      </c>
      <c r="N44" s="893">
        <f t="shared" ca="1" si="29"/>
        <v>512766.12</v>
      </c>
      <c r="O44" s="893">
        <f t="shared" ca="1" si="26"/>
        <v>64.985580054901746</v>
      </c>
      <c r="P44" s="893">
        <f t="shared" ca="1" si="27"/>
        <v>64.228235736205932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IFERROR(__xludf.DUMMYFUNCTION("IMPORTRANGE(""https://docs.google.com/spreadsheets/d/1MeEWN-I1oV_STSDYn1IFDPWt_1FKiwhDph83XaGc0o0/edit?usp=sharing"",""งบพรบ!M33"")"),789046)</f>
        <v>789046</v>
      </c>
      <c r="M46" s="899">
        <f ca="1">IFERROR(__xludf.DUMMYFUNCTION("IMPORTRANGE(""https://docs.google.com/spreadsheets/d/1MeEWN-I1oV_STSDYn1IFDPWt_1FKiwhDph83XaGc0o0/edit?usp=sharing"",""งบพรบ!R33"")"),798350)</f>
        <v>798350</v>
      </c>
      <c r="N46" s="899">
        <f ca="1">IFERROR(__xludf.DUMMYFUNCTION("IMPORTRANGE(""https://docs.google.com/spreadsheets/d/1MeEWN-I1oV_STSDYn1IFDPWt_1FKiwhDph83XaGc0o0/edit?usp=sharing"",""งบพรบ!T33"")"),512766.12)</f>
        <v>512766.12</v>
      </c>
      <c r="O46" s="899">
        <f t="shared" ca="1" si="26"/>
        <v>64.985580054901746</v>
      </c>
      <c r="P46" s="899">
        <f t="shared" ca="1" si="27"/>
        <v>64.228235736205932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IFERROR(__xludf.DUMMYFUNCTION("IMPORTRANGE(""https://docs.google.com/spreadsheets/d/1MeEWN-I1oV_STSDYn1IFDPWt_1FKiwhDph83XaGc0o0/edit?usp=sharing"",""งบพรบ!P33"")"),0)</f>
        <v>0</v>
      </c>
      <c r="M49" s="905">
        <f ca="1">IFERROR(__xludf.DUMMYFUNCTION("IMPORTRANGE(""https://docs.google.com/spreadsheets/d/1MeEWN-I1oV_STSDYn1IFDPWt_1FKiwhDph83XaGc0o0/edit?usp=sharing"",""งบพรบ!S33"")"),0)</f>
        <v>0</v>
      </c>
      <c r="N49" s="905">
        <f ca="1">IFERROR(__xludf.DUMMYFUNCTION("IMPORTRANGE(""https://docs.google.com/spreadsheets/d/1MeEWN-I1oV_STSDYn1IFDPWt_1FKiwhDph83XaGc0o0/edit?usp=sharing"",""งบพรบ!U33"")"),0)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921900</v>
      </c>
      <c r="M53" s="968">
        <f t="shared" ca="1" si="31"/>
        <v>699475</v>
      </c>
      <c r="N53" s="968">
        <f t="shared" ca="1" si="31"/>
        <v>643767.13</v>
      </c>
      <c r="O53" s="968">
        <f t="shared" ref="O53:O61" ca="1" si="32">IF(L53&gt;0,N53*100/L53,0)</f>
        <v>69.830472936327155</v>
      </c>
      <c r="P53" s="968">
        <f t="shared" ref="P53:P61" ca="1" si="33">IF(M53&gt;0,N53*100/M53,0)</f>
        <v>92.035759676900526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921900</v>
      </c>
      <c r="M55" s="974">
        <f t="shared" ca="1" si="34"/>
        <v>699475</v>
      </c>
      <c r="N55" s="974">
        <f t="shared" ca="1" si="34"/>
        <v>643767.13</v>
      </c>
      <c r="O55" s="974">
        <f t="shared" ca="1" si="32"/>
        <v>69.830472936327155</v>
      </c>
      <c r="P55" s="974">
        <f t="shared" ca="1" si="33"/>
        <v>92.035759676900526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889700</v>
      </c>
      <c r="M56" s="893">
        <f t="shared" ca="1" si="35"/>
        <v>667275</v>
      </c>
      <c r="N56" s="893">
        <f t="shared" ca="1" si="35"/>
        <v>611567.13</v>
      </c>
      <c r="O56" s="893">
        <f t="shared" ca="1" si="32"/>
        <v>68.738578172417675</v>
      </c>
      <c r="P56" s="893">
        <f t="shared" ca="1" si="33"/>
        <v>91.651437563223553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IFERROR(__xludf.DUMMYFUNCTION("IMPORTRANGE(""https://docs.google.com/spreadsheets/d/1MeEWN-I1oV_STSDYn1IFDPWt_1FKiwhDph83XaGc0o0/edit?usp=sharing"",""งบพรบ!W33"")"),889700)</f>
        <v>889700</v>
      </c>
      <c r="M58" s="899">
        <f ca="1">IFERROR(__xludf.DUMMYFUNCTION("IMPORTRANGE(""https://docs.google.com/spreadsheets/d/1MeEWN-I1oV_STSDYn1IFDPWt_1FKiwhDph83XaGc0o0/edit?usp=sharing"",""งบพรบ!AB33"")"),667275)</f>
        <v>667275</v>
      </c>
      <c r="N58" s="899">
        <f ca="1">IFERROR(__xludf.DUMMYFUNCTION("IMPORTRANGE(""https://docs.google.com/spreadsheets/d/1MeEWN-I1oV_STSDYn1IFDPWt_1FKiwhDph83XaGc0o0/edit?usp=sharing"",""งบพรบ!AD33"")"),611567.13)</f>
        <v>611567.13</v>
      </c>
      <c r="O58" s="899">
        <f t="shared" ca="1" si="32"/>
        <v>68.738578172417675</v>
      </c>
      <c r="P58" s="899">
        <f t="shared" ca="1" si="33"/>
        <v>91.651437563223553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32200</v>
      </c>
      <c r="M59" s="893">
        <f t="shared" ca="1" si="36"/>
        <v>32200</v>
      </c>
      <c r="N59" s="893">
        <f t="shared" ca="1" si="36"/>
        <v>32200</v>
      </c>
      <c r="O59" s="893">
        <f t="shared" ca="1" si="32"/>
        <v>100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IFERROR(__xludf.DUMMYFUNCTION("IMPORTRANGE(""https://docs.google.com/spreadsheets/d/1MeEWN-I1oV_STSDYn1IFDPWt_1FKiwhDph83XaGc0o0/edit?usp=sharing"",""งบพรบ!Z33"")"),32200)</f>
        <v>32200</v>
      </c>
      <c r="M61" s="905">
        <f ca="1">IFERROR(__xludf.DUMMYFUNCTION("IMPORTRANGE(""https://docs.google.com/spreadsheets/d/1MeEWN-I1oV_STSDYn1IFDPWt_1FKiwhDph83XaGc0o0/edit?usp=sharing"",""งบพรบ!AC33"")"),32200)</f>
        <v>32200</v>
      </c>
      <c r="N61" s="905">
        <f ca="1">IFERROR(__xludf.DUMMYFUNCTION("IMPORTRANGE(""https://docs.google.com/spreadsheets/d/1MeEWN-I1oV_STSDYn1IFDPWt_1FKiwhDph83XaGc0o0/edit?usp=sharing"",""งบพรบ!AE33"")"),32200)</f>
        <v>32200</v>
      </c>
      <c r="O61" s="905">
        <f t="shared" ca="1" si="32"/>
        <v>100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30</v>
      </c>
      <c r="J65" s="994">
        <f t="shared" si="37"/>
        <v>30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1012000</v>
      </c>
      <c r="M66" s="1004">
        <f t="shared" ca="1" si="39"/>
        <v>787480</v>
      </c>
      <c r="N66" s="1004">
        <f t="shared" ca="1" si="39"/>
        <v>673226.34</v>
      </c>
      <c r="O66" s="1004">
        <f t="shared" ref="O66:O74" ca="1" si="40">IF(L66&gt;0,N66*100/L66,0)</f>
        <v>66.524341897233199</v>
      </c>
      <c r="P66" s="1004">
        <f t="shared" ref="P66:P74" ca="1" si="41">IF(M66&gt;0,N66*100/M66,0)</f>
        <v>85.491230253466753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1012000</v>
      </c>
      <c r="M68" s="899">
        <f t="shared" ca="1" si="42"/>
        <v>787480</v>
      </c>
      <c r="N68" s="899">
        <f t="shared" ca="1" si="42"/>
        <v>673226.34</v>
      </c>
      <c r="O68" s="899">
        <f t="shared" ca="1" si="40"/>
        <v>66.524341897233199</v>
      </c>
      <c r="P68" s="899">
        <f t="shared" ca="1" si="41"/>
        <v>85.491230253466753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1012000</v>
      </c>
      <c r="M69" s="893">
        <f t="shared" ca="1" si="43"/>
        <v>787480</v>
      </c>
      <c r="N69" s="893">
        <f t="shared" ca="1" si="43"/>
        <v>673226.34</v>
      </c>
      <c r="O69" s="893">
        <f t="shared" ca="1" si="40"/>
        <v>66.524341897233199</v>
      </c>
      <c r="P69" s="893">
        <f t="shared" ca="1" si="41"/>
        <v>85.491230253466753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IFERROR(__xludf.DUMMYFUNCTION("IMPORTRANGE(""https://docs.google.com/spreadsheets/d/1MeEWN-I1oV_STSDYn1IFDPWt_1FKiwhDph83XaGc0o0/edit?usp=sharing"",""งบพรบ!AG33"")"),1012000)</f>
        <v>1012000</v>
      </c>
      <c r="M71" s="899">
        <f ca="1">IFERROR(__xludf.DUMMYFUNCTION("IMPORTRANGE(""https://docs.google.com/spreadsheets/d/1MeEWN-I1oV_STSDYn1IFDPWt_1FKiwhDph83XaGc0o0/edit?usp=sharing"",""งบพรบ!AL33"")"),787480)</f>
        <v>787480</v>
      </c>
      <c r="N71" s="899">
        <f ca="1">IFERROR(__xludf.DUMMYFUNCTION("IMPORTRANGE(""https://docs.google.com/spreadsheets/d/1MeEWN-I1oV_STSDYn1IFDPWt_1FKiwhDph83XaGc0o0/edit?usp=sharing"",""งบพรบ!AN33"")"),673226.34)</f>
        <v>673226.34</v>
      </c>
      <c r="O71" s="899">
        <f t="shared" ca="1" si="40"/>
        <v>66.524341897233199</v>
      </c>
      <c r="P71" s="899">
        <f t="shared" ca="1" si="41"/>
        <v>85.491230253466753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IFERROR(__xludf.DUMMYFUNCTION("IMPORTRANGE(""https://docs.google.com/spreadsheets/d/1MeEWN-I1oV_STSDYn1IFDPWt_1FKiwhDph83XaGc0o0/edit?usp=sharing"",""งบพรบ!AJ33"")"),0)</f>
        <v>0</v>
      </c>
      <c r="M74" s="899">
        <f ca="1">IFERROR(__xludf.DUMMYFUNCTION("IMPORTRANGE(""https://docs.google.com/spreadsheets/d/1MeEWN-I1oV_STSDYn1IFDPWt_1FKiwhDph83XaGc0o0/edit?usp=sharing"",""งบพรบ!AM33"")"),0)</f>
        <v>0</v>
      </c>
      <c r="N74" s="899">
        <f ca="1">IFERROR(__xludf.DUMMYFUNCTION("IMPORTRANGE(""https://docs.google.com/spreadsheets/d/1MeEWN-I1oV_STSDYn1IFDPWt_1FKiwhDph83XaGc0o0/edit?usp=sharing"",""งบพรบ!AO33"")"),0)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30</v>
      </c>
      <c r="J77" s="892">
        <f t="shared" si="45"/>
        <v>30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IFERROR(__xludf.DUMMYFUNCTION("IMPORTRANGE(""https://docs.google.com/spreadsheets/d/1QqKyyYR6Q21VydFLVH3TRQUabQu_ym0Zz7PgGX0-kHA/edit?usp=sharing"",""แผน!H33"")"),0)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IFERROR(__xludf.DUMMYFUNCTION("IMPORTRANGE(""https://docs.google.com/spreadsheets/d/1QqKyyYR6Q21VydFLVH3TRQUabQu_ym0Zz7PgGX0-kHA/edit?usp=sharing"",""แผน!I33"")"),0)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IFERROR(__xludf.DUMMYFUNCTION("IMPORTRANGE(""https://docs.google.com/spreadsheets/d/1QqKyyYR6Q21VydFLVH3TRQUabQu_ym0Zz7PgGX0-kHA/edit?usp=sharing"",""แผน!F33"")"),1)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IFERROR(__xludf.DUMMYFUNCTION("IMPORTRANGE(""https://docs.google.com/spreadsheets/d/1QqKyyYR6Q21VydFLVH3TRQUabQu_ym0Zz7PgGX0-kHA/edit?usp=sharing"",""แผน!G33"")"),30)</f>
        <v>30</v>
      </c>
      <c r="J81" s="1024">
        <v>30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IFERROR(__xludf.DUMMYFUNCTION("IMPORTRANGE(""https://docs.google.com/spreadsheets/d/1QqKyyYR6Q21VydFLVH3TRQUabQu_ym0Zz7PgGX0-kHA/edit?usp=sharing"",""แผน!D33"")"),0)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IFERROR(__xludf.DUMMYFUNCTION("IMPORTRANGE(""https://docs.google.com/spreadsheets/d/1QqKyyYR6Q21VydFLVH3TRQUabQu_ym0Zz7PgGX0-kHA/edit?usp=sharing"",""แผน!E33"")"),0)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IFERROR(__xludf.DUMMYFUNCTION("IMPORTRANGE(""https://docs.google.com/spreadsheets/d/1QqKyyYR6Q21VydFLVH3TRQUabQu_ym0Zz7PgGX0-kHA/edit?usp=sharing"",""แผน!J33"")"),1)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60</v>
      </c>
      <c r="J86" s="994">
        <f t="shared" si="47"/>
        <v>60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20</v>
      </c>
      <c r="J87" s="994">
        <f t="shared" si="47"/>
        <v>20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111180</v>
      </c>
      <c r="M88" s="1004">
        <f t="shared" ca="1" si="49"/>
        <v>101480</v>
      </c>
      <c r="N88" s="1004">
        <f t="shared" ca="1" si="49"/>
        <v>80047.88</v>
      </c>
      <c r="O88" s="1004">
        <f t="shared" ref="O88:O96" ca="1" si="50">IF(L88&gt;0,N88*100/L88,0)</f>
        <v>71.99845295916532</v>
      </c>
      <c r="P88" s="1004">
        <f t="shared" ref="P88:P96" ca="1" si="51">IF(M88&gt;0,N88*100/M88,0)</f>
        <v>78.880449349625536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111180</v>
      </c>
      <c r="M90" s="899">
        <f t="shared" ca="1" si="52"/>
        <v>101480</v>
      </c>
      <c r="N90" s="899">
        <f t="shared" ca="1" si="52"/>
        <v>80047.88</v>
      </c>
      <c r="O90" s="899">
        <f t="shared" ca="1" si="50"/>
        <v>71.99845295916532</v>
      </c>
      <c r="P90" s="899">
        <f t="shared" ca="1" si="51"/>
        <v>78.880449349625536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111180</v>
      </c>
      <c r="M91" s="893">
        <f t="shared" ca="1" si="53"/>
        <v>101480</v>
      </c>
      <c r="N91" s="893">
        <f t="shared" ca="1" si="53"/>
        <v>80047.88</v>
      </c>
      <c r="O91" s="893">
        <f t="shared" ca="1" si="50"/>
        <v>71.99845295916532</v>
      </c>
      <c r="P91" s="893">
        <f t="shared" ca="1" si="51"/>
        <v>78.880449349625536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IFERROR(__xludf.DUMMYFUNCTION("IMPORTRANGE(""https://docs.google.com/spreadsheets/d/1MeEWN-I1oV_STSDYn1IFDPWt_1FKiwhDph83XaGc0o0/edit?usp=sharing"",""งบพรบ!AQ33"")"),111180)</f>
        <v>111180</v>
      </c>
      <c r="M93" s="899">
        <f ca="1">IFERROR(__xludf.DUMMYFUNCTION("IMPORTRANGE(""https://docs.google.com/spreadsheets/d/1MeEWN-I1oV_STSDYn1IFDPWt_1FKiwhDph83XaGc0o0/edit?usp=sharing"",""งบพรบ!AV33"")"),101480)</f>
        <v>101480</v>
      </c>
      <c r="N93" s="899">
        <f ca="1">IFERROR(__xludf.DUMMYFUNCTION("IMPORTRANGE(""https://docs.google.com/spreadsheets/d/1MeEWN-I1oV_STSDYn1IFDPWt_1FKiwhDph83XaGc0o0/edit?usp=sharing"",""งบพรบ!AX33"")"),80047.88)</f>
        <v>80047.88</v>
      </c>
      <c r="O93" s="899">
        <f t="shared" ca="1" si="50"/>
        <v>71.99845295916532</v>
      </c>
      <c r="P93" s="899">
        <f t="shared" ca="1" si="51"/>
        <v>78.880449349625536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IFERROR(__xludf.DUMMYFUNCTION("IMPORTRANGE(""https://docs.google.com/spreadsheets/d/1MeEWN-I1oV_STSDYn1IFDPWt_1FKiwhDph83XaGc0o0/edit?usp=sharing"",""งบพรบ!AT33"")"),0)</f>
        <v>0</v>
      </c>
      <c r="M96" s="899">
        <f ca="1">IFERROR(__xludf.DUMMYFUNCTION("IMPORTRANGE(""https://docs.google.com/spreadsheets/d/1MeEWN-I1oV_STSDYn1IFDPWt_1FKiwhDph83XaGc0o0/edit?usp=sharing"",""งบพรบ!AW33"")"),0)</f>
        <v>0</v>
      </c>
      <c r="N96" s="899">
        <f ca="1">IFERROR(__xludf.DUMMYFUNCTION("IMPORTRANGE(""https://docs.google.com/spreadsheets/d/1MeEWN-I1oV_STSDYn1IFDPWt_1FKiwhDph83XaGc0o0/edit?usp=sharing"",""งบพรบ!AY33"")"),0)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IFERROR(__xludf.DUMMYFUNCTION("IMPORTRANGE(""https://docs.google.com/spreadsheets/d/1QqKyyYR6Q21VydFLVH3TRQUabQu_ym0Zz7PgGX0-kHA/edit?usp=sharing"",""แผน!K33"")"),60)</f>
        <v>60</v>
      </c>
      <c r="J98" s="892">
        <f>J102</f>
        <v>60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IFERROR(__xludf.DUMMYFUNCTION("IMPORTRANGE(""https://docs.google.com/spreadsheets/d/1QqKyyYR6Q21VydFLVH3TRQUabQu_ym0Zz7PgGX0-kHA/edit?usp=sharing"",""แผน!L33"")"),20)</f>
        <v>20</v>
      </c>
      <c r="J99" s="892">
        <f>J104</f>
        <v>20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IFERROR(__xludf.DUMMYFUNCTION("IMPORTRANGE(""https://docs.google.com/spreadsheets/d/1QqKyyYR6Q21VydFLVH3TRQUabQu_ym0Zz7PgGX0-kHA/edit?usp=sharing"",""แผน!M33"")"),2)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IFERROR(__xludf.DUMMYFUNCTION("IMPORTRANGE(""https://docs.google.com/spreadsheets/d/1QqKyyYR6Q21VydFLVH3TRQUabQu_ym0Zz7PgGX0-kHA/edit?usp=sharing"",""แผน!N33"")"),60)</f>
        <v>60</v>
      </c>
      <c r="J102" s="1024">
        <v>60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IFERROR(__xludf.DUMMYFUNCTION("IMPORTRANGE(""https://docs.google.com/spreadsheets/d/1QqKyyYR6Q21VydFLVH3TRQUabQu_ym0Zz7PgGX0-kHA/edit?usp=sharing"",""แผน!O33"")"),20)</f>
        <v>20</v>
      </c>
      <c r="J103" s="1024">
        <v>20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IFERROR(__xludf.DUMMYFUNCTION("IMPORTRANGE(""https://docs.google.com/spreadsheets/d/1QqKyyYR6Q21VydFLVH3TRQUabQu_ym0Zz7PgGX0-kHA/edit?usp=sharing"",""แผน!O33"")"),20)</f>
        <v>20</v>
      </c>
      <c r="J104" s="1024">
        <v>20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IFERROR(__xludf.DUMMYFUNCTION("IMPORTRANGE(""https://docs.google.com/spreadsheets/d/1QqKyyYR6Q21VydFLVH3TRQUabQu_ym0Zz7PgGX0-kHA/edit?usp=sharing"",""แผน!P33"")"),1)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IFERROR(__xludf.DUMMYFUNCTION("IMPORTRANGE(""https://docs.google.com/spreadsheets/d/1QqKyyYR6Q21VydFLVH3TRQUabQu_ym0Zz7PgGX0-kHA/edit?usp=sharing"",""แผน!P33"")"),1)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IFERROR(__xludf.DUMMYFUNCTION("IMPORTRANGE(""https://docs.google.com/spreadsheets/d/1QqKyyYR6Q21VydFLVH3TRQUabQu_ym0Zz7PgGX0-kHA/edit?usp=sharing"",""แผน!Q33"")"),1)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IFERROR(__xludf.DUMMYFUNCTION("IMPORTRANGE(""https://docs.google.com/spreadsheets/d/1QqKyyYR6Q21VydFLVH3TRQUabQu_ym0Zz7PgGX0-kHA/edit?usp=sharing"",""แผน!Q33"")"),1)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IFERROR(__xludf.DUMMYFUNCTION("IMPORTRANGE(""https://docs.google.com/spreadsheets/d/1QqKyyYR6Q21VydFLVH3TRQUabQu_ym0Zz7PgGX0-kHA/edit?usp=sharing"",""แผน!R33"")"),20)</f>
        <v>20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IFERROR(__xludf.DUMMYFUNCTION("IMPORTRANGE(""https://docs.google.com/spreadsheets/d/1QqKyyYR6Q21VydFLVH3TRQUabQu_ym0Zz7PgGX0-kHA/edit?usp=sharing"",""แผน!R33"")"),20)</f>
        <v>20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IFERROR(__xludf.DUMMYFUNCTION("IMPORTRANGE(""https://docs.google.com/spreadsheets/d/1QqKyyYR6Q21VydFLVH3TRQUabQu_ym0Zz7PgGX0-kHA/edit?usp=sharing"",""แผน!R33"")"),20)</f>
        <v>20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IFERROR(__xludf.DUMMYFUNCTION("IMPORTRANGE(""https://docs.google.com/spreadsheets/d/1QqKyyYR6Q21VydFLVH3TRQUabQu_ym0Zz7PgGX0-kHA/edit?usp=sharing"",""แผน!S33"")"),1)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IFERROR(__xludf.DUMMYFUNCTION("IMPORTRANGE(""https://docs.google.com/spreadsheets/d/1QqKyyYR6Q21VydFLVH3TRQUabQu_ym0Zz7PgGX0-kHA/edit?usp=sharing"",""แผน!T33"")"),1)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IFERROR(__xludf.DUMMYFUNCTION("IMPORTRANGE(""https://docs.google.com/spreadsheets/d/1MeEWN-I1oV_STSDYn1IFDPWt_1FKiwhDph83XaGc0o0/edit?usp=sharing"",""งบพรบ!BA33"")"),0)</f>
        <v>0</v>
      </c>
      <c r="M124" s="899">
        <f ca="1">IFERROR(__xludf.DUMMYFUNCTION("IMPORTRANGE(""https://docs.google.com/spreadsheets/d/1MeEWN-I1oV_STSDYn1IFDPWt_1FKiwhDph83XaGc0o0/edit?usp=sharing"",""งบพรบ!BF33"")"),0)</f>
        <v>0</v>
      </c>
      <c r="N124" s="899">
        <f ca="1">IFERROR(__xludf.DUMMYFUNCTION("IMPORTRANGE(""https://docs.google.com/spreadsheets/d/1MeEWN-I1oV_STSDYn1IFDPWt_1FKiwhDph83XaGc0o0/edit?usp=sharing"",""งบพรบ!BH33"")"),0)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IFERROR(__xludf.DUMMYFUNCTION("IMPORTRANGE(""https://docs.google.com/spreadsheets/d/1MeEWN-I1oV_STSDYn1IFDPWt_1FKiwhDph83XaGc0o0/edit?usp=sharing"",""งบพรบ!BD33"")"),0)</f>
        <v>0</v>
      </c>
      <c r="M127" s="899">
        <f ca="1">IFERROR(__xludf.DUMMYFUNCTION("IMPORTRANGE(""https://docs.google.com/spreadsheets/d/1MeEWN-I1oV_STSDYn1IFDPWt_1FKiwhDph83XaGc0o0/edit?usp=sharing"",""งบพรบ!BG33"")"),0)</f>
        <v>0</v>
      </c>
      <c r="N127" s="899">
        <f ca="1">IFERROR(__xludf.DUMMYFUNCTION("IMPORTRANGE(""https://docs.google.com/spreadsheets/d/1MeEWN-I1oV_STSDYn1IFDPWt_1FKiwhDph83XaGc0o0/edit?usp=sharing"",""งบพรบ!BI33"")"),0)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IFERROR(__xludf.DUMMYFUNCTION("IMPORTRANGE(""https://docs.google.com/spreadsheets/d/1MeEWN-I1oV_STSDYn1IFDPWt_1FKiwhDph83XaGc0o0/edit?usp=sharing"",""งบพรบ!BK33"")"),0)</f>
        <v>0</v>
      </c>
      <c r="M137" s="899">
        <f ca="1">IFERROR(__xludf.DUMMYFUNCTION("IMPORTRANGE(""https://docs.google.com/spreadsheets/d/1MeEWN-I1oV_STSDYn1IFDPWt_1FKiwhDph83XaGc0o0/edit?usp=sharing"",""งบพรบ!BP33"")"),0)</f>
        <v>0</v>
      </c>
      <c r="N137" s="899">
        <f ca="1">IFERROR(__xludf.DUMMYFUNCTION("IMPORTRANGE(""https://docs.google.com/spreadsheets/d/1MeEWN-I1oV_STSDYn1IFDPWt_1FKiwhDph83XaGc0o0/edit?usp=sharing"",""งบพรบ!BR33"")"),0)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IFERROR(__xludf.DUMMYFUNCTION("IMPORTRANGE(""https://docs.google.com/spreadsheets/d/1MeEWN-I1oV_STSDYn1IFDPWt_1FKiwhDph83XaGc0o0/edit?usp=sharing"",""งบพรบ!BN33"")"),0)</f>
        <v>0</v>
      </c>
      <c r="M140" s="899">
        <f ca="1">IFERROR(__xludf.DUMMYFUNCTION("IMPORTRANGE(""https://docs.google.com/spreadsheets/d/1MeEWN-I1oV_STSDYn1IFDPWt_1FKiwhDph83XaGc0o0/edit?usp=sharing"",""งบพรบ!BQ33"")"),0)</f>
        <v>0</v>
      </c>
      <c r="N140" s="899">
        <f ca="1">IFERROR(__xludf.DUMMYFUNCTION("IMPORTRANGE(""https://docs.google.com/spreadsheets/d/1MeEWN-I1oV_STSDYn1IFDPWt_1FKiwhDph83XaGc0o0/edit?usp=sharing"",""งบพรบ!BS33"")"),0)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IFERROR(__xludf.DUMMYFUNCTION("IMPORTRANGE(""https://docs.google.com/spreadsheets/d/1QqKyyYR6Q21VydFLVH3TRQUabQu_ym0Zz7PgGX0-kHA/edit?usp=sharing"",""แผน!U33"")"),0)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IFERROR(__xludf.DUMMYFUNCTION("IMPORTRANGE(""https://docs.google.com/spreadsheets/d/1QqKyyYR6Q21VydFLVH3TRQUabQu_ym0Zz7PgGX0-kHA/edit?usp=sharing"",""แผน!V33"")"),0)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IFERROR(__xludf.DUMMYFUNCTION("IMPORTRANGE(""https://docs.google.com/spreadsheets/d/1QqKyyYR6Q21VydFLVH3TRQUabQu_ym0Zz7PgGX0-kHA/edit?usp=sharing"",""แผน!W33"")"),0)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IFERROR(__xludf.DUMMYFUNCTION("IMPORTRANGE(""https://docs.google.com/spreadsheets/d/1MeEWN-I1oV_STSDYn1IFDPWt_1FKiwhDph83XaGc0o0/edit?usp=sharing"",""งบพรบ!BU33"")"),0)</f>
        <v>0</v>
      </c>
      <c r="M154" s="899">
        <f ca="1">IFERROR(__xludf.DUMMYFUNCTION("IMPORTRANGE(""https://docs.google.com/spreadsheets/d/1MeEWN-I1oV_STSDYn1IFDPWt_1FKiwhDph83XaGc0o0/edit?usp=sharing"",""งบพรบ!BZ33"")"),0)</f>
        <v>0</v>
      </c>
      <c r="N154" s="899">
        <f ca="1">IFERROR(__xludf.DUMMYFUNCTION("IMPORTRANGE(""https://docs.google.com/spreadsheets/d/1MeEWN-I1oV_STSDYn1IFDPWt_1FKiwhDph83XaGc0o0/edit?usp=sharing"",""งบพรบ!CB33"")"),0)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IFERROR(__xludf.DUMMYFUNCTION("IMPORTRANGE(""https://docs.google.com/spreadsheets/d/1MeEWN-I1oV_STSDYn1IFDPWt_1FKiwhDph83XaGc0o0/edit?usp=sharing"",""งบพรบ!BX33"")"),0)</f>
        <v>0</v>
      </c>
      <c r="M157" s="899">
        <f ca="1">IFERROR(__xludf.DUMMYFUNCTION("IMPORTRANGE(""https://docs.google.com/spreadsheets/d/1MeEWN-I1oV_STSDYn1IFDPWt_1FKiwhDph83XaGc0o0/edit?usp=sharing"",""งบพรบ!CA33"")"),0)</f>
        <v>0</v>
      </c>
      <c r="N157" s="899">
        <f ca="1">IFERROR(__xludf.DUMMYFUNCTION("IMPORTRANGE(""https://docs.google.com/spreadsheets/d/1MeEWN-I1oV_STSDYn1IFDPWt_1FKiwhDph83XaGc0o0/edit?usp=sharing"",""งบพรบ!CC33"")"),0)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IFERROR(__xludf.DUMMYFUNCTION("IMPORTRANGE(""https://docs.google.com/spreadsheets/d/1QqKyyYR6Q21VydFLVH3TRQUabQu_ym0Zz7PgGX0-kHA/edit?usp=sharing"",""แผน!X33"")"),0)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10</v>
      </c>
      <c r="J164" s="1073">
        <f t="shared" si="83"/>
        <v>10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21050</v>
      </c>
      <c r="M165" s="1004">
        <f t="shared" ca="1" si="84"/>
        <v>21050</v>
      </c>
      <c r="N165" s="1004">
        <f t="shared" ca="1" si="84"/>
        <v>20980</v>
      </c>
      <c r="O165" s="1004">
        <f t="shared" ref="O165:O173" ca="1" si="85">IF(L165&gt;0,N165*100/L165,0)</f>
        <v>99.667458432304045</v>
      </c>
      <c r="P165" s="1004">
        <f t="shared" ref="P165:P173" ca="1" si="86">IF(M165&gt;0,N165*100/M165,0)</f>
        <v>99.667458432304045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21050</v>
      </c>
      <c r="M167" s="899">
        <f t="shared" ca="1" si="87"/>
        <v>21050</v>
      </c>
      <c r="N167" s="899">
        <f t="shared" ca="1" si="87"/>
        <v>20980</v>
      </c>
      <c r="O167" s="899">
        <f t="shared" ca="1" si="85"/>
        <v>99.667458432304045</v>
      </c>
      <c r="P167" s="899">
        <f t="shared" ca="1" si="86"/>
        <v>99.667458432304045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21050</v>
      </c>
      <c r="M168" s="893">
        <f t="shared" ca="1" si="88"/>
        <v>21050</v>
      </c>
      <c r="N168" s="893">
        <f t="shared" ca="1" si="88"/>
        <v>20980</v>
      </c>
      <c r="O168" s="893">
        <f t="shared" ca="1" si="85"/>
        <v>99.667458432304045</v>
      </c>
      <c r="P168" s="893">
        <f t="shared" ca="1" si="86"/>
        <v>99.667458432304045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IFERROR(__xludf.DUMMYFUNCTION("IMPORTRANGE(""https://docs.google.com/spreadsheets/d/1MeEWN-I1oV_STSDYn1IFDPWt_1FKiwhDph83XaGc0o0/edit?usp=sharing"",""งบพรบ!CE33"")"),21050)</f>
        <v>21050</v>
      </c>
      <c r="M170" s="899">
        <f ca="1">IFERROR(__xludf.DUMMYFUNCTION("IMPORTRANGE(""https://docs.google.com/spreadsheets/d/1MeEWN-I1oV_STSDYn1IFDPWt_1FKiwhDph83XaGc0o0/edit?usp=sharing"",""งบพรบ!CJ33"")"),21050)</f>
        <v>21050</v>
      </c>
      <c r="N170" s="899">
        <f ca="1">IFERROR(__xludf.DUMMYFUNCTION("IMPORTRANGE(""https://docs.google.com/spreadsheets/d/1MeEWN-I1oV_STSDYn1IFDPWt_1FKiwhDph83XaGc0o0/edit?usp=sharing"",""งบพรบ!CL33"")"),20980)</f>
        <v>20980</v>
      </c>
      <c r="O170" s="899">
        <f t="shared" ca="1" si="85"/>
        <v>99.667458432304045</v>
      </c>
      <c r="P170" s="899">
        <f t="shared" ca="1" si="86"/>
        <v>99.667458432304045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IFERROR(__xludf.DUMMYFUNCTION("IMPORTRANGE(""https://docs.google.com/spreadsheets/d/1MeEWN-I1oV_STSDYn1IFDPWt_1FKiwhDph83XaGc0o0/edit?usp=sharing"",""งบพรบ!CH33"")"),0)</f>
        <v>0</v>
      </c>
      <c r="M173" s="899">
        <f ca="1">IFERROR(__xludf.DUMMYFUNCTION("IMPORTRANGE(""https://docs.google.com/spreadsheets/d/1MeEWN-I1oV_STSDYn1IFDPWt_1FKiwhDph83XaGc0o0/edit?usp=sharing"",""งบพรบ!CK33"")"),0)</f>
        <v>0</v>
      </c>
      <c r="N173" s="899">
        <f ca="1">IFERROR(__xludf.DUMMYFUNCTION("IMPORTRANGE(""https://docs.google.com/spreadsheets/d/1MeEWN-I1oV_STSDYn1IFDPWt_1FKiwhDph83XaGc0o0/edit?usp=sharing"",""งบพรบ!CM33"")"),0)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10</v>
      </c>
      <c r="J174" s="1080">
        <f t="shared" si="90"/>
        <v>10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IFERROR(__xludf.DUMMYFUNCTION("IMPORTRANGE(""https://docs.google.com/spreadsheets/d/1QqKyyYR6Q21VydFLVH3TRQUabQu_ym0Zz7PgGX0-kHA/edit?usp=sharing"",""แผน!Y33"")"),10)</f>
        <v>10</v>
      </c>
      <c r="J176" s="1024">
        <v>10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63500</v>
      </c>
      <c r="M181" s="1004">
        <f t="shared" ca="1" si="92"/>
        <v>81300</v>
      </c>
      <c r="N181" s="1004">
        <f t="shared" ca="1" si="92"/>
        <v>72865</v>
      </c>
      <c r="O181" s="1004">
        <f t="shared" ref="O181:O189" ca="1" si="93">IF(L181&gt;0,N181*100/L181,0)</f>
        <v>114.74803149606299</v>
      </c>
      <c r="P181" s="1004">
        <f t="shared" ref="P181:P189" ca="1" si="94">IF(M181&gt;0,N181*100/M181,0)</f>
        <v>89.624846248462489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63500</v>
      </c>
      <c r="M183" s="899">
        <f t="shared" ca="1" si="95"/>
        <v>81300</v>
      </c>
      <c r="N183" s="899">
        <f t="shared" ca="1" si="95"/>
        <v>72865</v>
      </c>
      <c r="O183" s="899">
        <f t="shared" ca="1" si="93"/>
        <v>114.74803149606299</v>
      </c>
      <c r="P183" s="899">
        <f t="shared" ca="1" si="94"/>
        <v>89.624846248462489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63500</v>
      </c>
      <c r="M184" s="893">
        <f t="shared" ca="1" si="96"/>
        <v>81300</v>
      </c>
      <c r="N184" s="893">
        <f t="shared" ca="1" si="96"/>
        <v>72865</v>
      </c>
      <c r="O184" s="893">
        <f t="shared" ca="1" si="93"/>
        <v>114.74803149606299</v>
      </c>
      <c r="P184" s="893">
        <f t="shared" ca="1" si="94"/>
        <v>89.624846248462489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IFERROR(__xludf.DUMMYFUNCTION("IMPORTRANGE(""https://docs.google.com/spreadsheets/d/1MeEWN-I1oV_STSDYn1IFDPWt_1FKiwhDph83XaGc0o0/edit?usp=sharing"",""งบพรบ!CO33"")"),63500)</f>
        <v>63500</v>
      </c>
      <c r="M186" s="899">
        <f ca="1">IFERROR(__xludf.DUMMYFUNCTION("IMPORTRANGE(""https://docs.google.com/spreadsheets/d/1MeEWN-I1oV_STSDYn1IFDPWt_1FKiwhDph83XaGc0o0/edit?usp=sharing"",""งบพรบ!CT33"")"),81300)</f>
        <v>81300</v>
      </c>
      <c r="N186" s="899">
        <f ca="1">IFERROR(__xludf.DUMMYFUNCTION("IMPORTRANGE(""https://docs.google.com/spreadsheets/d/1MeEWN-I1oV_STSDYn1IFDPWt_1FKiwhDph83XaGc0o0/edit?usp=sharing"",""งบพรบ!CV33"")"),72865)</f>
        <v>72865</v>
      </c>
      <c r="O186" s="899">
        <f t="shared" ca="1" si="93"/>
        <v>114.74803149606299</v>
      </c>
      <c r="P186" s="899">
        <f t="shared" ca="1" si="94"/>
        <v>89.624846248462489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IFERROR(__xludf.DUMMYFUNCTION("IMPORTRANGE(""https://docs.google.com/spreadsheets/d/1MeEWN-I1oV_STSDYn1IFDPWt_1FKiwhDph83XaGc0o0/edit?usp=sharing"",""งบพรบ!CR33"")"),0)</f>
        <v>0</v>
      </c>
      <c r="M189" s="899">
        <f ca="1">IFERROR(__xludf.DUMMYFUNCTION("IMPORTRANGE(""https://docs.google.com/spreadsheets/d/1MeEWN-I1oV_STSDYn1IFDPWt_1FKiwhDph83XaGc0o0/edit?usp=sharing"",""งบพรบ!CU33"")"),0)</f>
        <v>0</v>
      </c>
      <c r="N189" s="899">
        <f ca="1">IFERROR(__xludf.DUMMYFUNCTION("IMPORTRANGE(""https://docs.google.com/spreadsheets/d/1MeEWN-I1oV_STSDYn1IFDPWt_1FKiwhDph83XaGc0o0/edit?usp=sharing"",""งบพรบ!CW33"")"),0)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IFERROR(__xludf.DUMMYFUNCTION("IMPORTRANGE(""https://docs.google.com/spreadsheets/d/1QqKyyYR6Q21VydFLVH3TRQUabQu_ym0Zz7PgGX0-kHA/edit?usp=sharing"",""แผน!Z33"")"),6000)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IFERROR(__xludf.DUMMYFUNCTION("IMPORTRANGE(""https://docs.google.com/spreadsheets/d/1QqKyyYR6Q21VydFLVH3TRQUabQu_ym0Zz7PgGX0-kHA/edit?usp=sharing"",""แผน!AC33"")"),4)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5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5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39000</v>
      </c>
      <c r="O198" s="1004">
        <f ca="1">IF(L198&gt;0,N198*100/L198,0)</f>
        <v>100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IFERROR(__xludf.DUMMYFUNCTION("IMPORTRANGE(""https://docs.google.com/spreadsheets/d/1QqKyyYR6Q21VydFLVH3TRQUabQu_ym0Zz7PgGX0-kHA/edit?usp=sharing"",""แผน!AE33"")"),3000)</f>
        <v>3000</v>
      </c>
      <c r="M199" s="893"/>
      <c r="N199" s="1096">
        <v>2480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IFERROR(__xludf.DUMMYFUNCTION("IMPORTRANGE(""https://docs.google.com/spreadsheets/d/1QqKyyYR6Q21VydFLVH3TRQUabQu_ym0Zz7PgGX0-kHA/edit?usp=sharing"",""แผน!AF33"")"),24000)</f>
        <v>24000</v>
      </c>
      <c r="M200" s="893"/>
      <c r="N200" s="1096">
        <v>29550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IFERROR(__xludf.DUMMYFUNCTION("IMPORTRANGE(""https://docs.google.com/spreadsheets/d/1QqKyyYR6Q21VydFLVH3TRQUabQu_ym0Zz7PgGX0-kHA/edit?usp=sharing"",""แผน!AG33"")"),12000)</f>
        <v>12000</v>
      </c>
      <c r="M201" s="893"/>
      <c r="N201" s="1096">
        <v>6970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IFERROR(__xludf.DUMMYFUNCTION("IMPORTRANGE(""https://docs.google.com/spreadsheets/d/1QqKyyYR6Q21VydFLVH3TRQUabQu_ym0Zz7PgGX0-kHA/edit?usp=sharing"",""แผน!AH33"")"),0)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IFERROR(__xludf.DUMMYFUNCTION("IMPORTRANGE(""https://docs.google.com/spreadsheets/d/1QqKyyYR6Q21VydFLVH3TRQUabQu_ym0Zz7PgGX0-kHA/edit?usp=sharing"",""แผน!AI33"")"),3)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IFERROR(__xludf.DUMMYFUNCTION("IMPORTRANGE(""https://docs.google.com/spreadsheets/d/1QqKyyYR6Q21VydFLVH3TRQUabQu_ym0Zz7PgGX0-kHA/edit?usp=sharing"",""แผน!AK33"")"),0)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IFERROR(__xludf.DUMMYFUNCTION("IMPORTRANGE(""https://docs.google.com/spreadsheets/d/1QqKyyYR6Q21VydFLVH3TRQUabQu_ym0Zz7PgGX0-kHA/edit?usp=sharing"",""แผน!AL33"")"),0)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IFERROR(__xludf.DUMMYFUNCTION("IMPORTRANGE(""https://docs.google.com/spreadsheets/d/1QqKyyYR6Q21VydFLVH3TRQUabQu_ym0Zz7PgGX0-kHA/edit?usp=sharing"",""แผน!AM33"")"),0)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IFERROR(__xludf.DUMMYFUNCTION("IMPORTRANGE(""https://docs.google.com/spreadsheets/d/1QqKyyYR6Q21VydFLVH3TRQUabQu_ym0Zz7PgGX0-kHA/edit?usp=sharing"",""แผน!AN33"")"),0)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IFERROR(__xludf.DUMMYFUNCTION("IMPORTRANGE(""https://docs.google.com/spreadsheets/d/1QqKyyYR6Q21VydFLVH3TRQUabQu_ym0Zz7PgGX0-kHA/edit?usp=sharing"",""แผน!AN33"")"),0)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50000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18500</v>
      </c>
      <c r="M217" s="1004"/>
      <c r="N217" s="1004">
        <f>N218+N219+N220</f>
        <v>105</v>
      </c>
      <c r="O217" s="1004">
        <f ca="1">IF(L217&gt;0,N217*100/L217,0)</f>
        <v>0.56756756756756754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IFERROR(__xludf.DUMMYFUNCTION("IMPORTRANGE(""https://docs.google.com/spreadsheets/d/1QqKyyYR6Q21VydFLVH3TRQUabQu_ym0Zz7PgGX0-kHA/edit?usp=sharing"",""แผน!AP33"")"),5000)</f>
        <v>5000</v>
      </c>
      <c r="M218" s="893"/>
      <c r="N218" s="1096">
        <v>105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IFERROR(__xludf.DUMMYFUNCTION("IMPORTRANGE(""https://docs.google.com/spreadsheets/d/1QqKyyYR6Q21VydFLVH3TRQUabQu_ym0Zz7PgGX0-kHA/edit?usp=sharing"",""แผน!AQ33"")"),13500)</f>
        <v>13500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IFERROR(__xludf.DUMMYFUNCTION("IMPORTRANGE(""https://docs.google.com/spreadsheets/d/1QqKyyYR6Q21VydFLVH3TRQUabQu_ym0Zz7PgGX0-kHA/edit?usp=sharing"",""แผน!AR33"")"),0)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IFERROR(__xludf.DUMMYFUNCTION("IMPORTRANGE(""https://docs.google.com/spreadsheets/d/1QqKyyYR6Q21VydFLVH3TRQUabQu_ym0Zz7PgGX0-kHA/edit?usp=sharing"",""แผน!AT33"")"),50000)</f>
        <v>50000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IFERROR(__xludf.DUMMYFUNCTION("IMPORTRANGE(""https://docs.google.com/spreadsheets/d/1QqKyyYR6Q21VydFLVH3TRQUabQu_ym0Zz7PgGX0-kHA/edit?usp=sharing"",""แผน!AT33"")"),50000)</f>
        <v>50000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IFERROR(__xludf.DUMMYFUNCTION("IMPORTRANGE(""https://docs.google.com/spreadsheets/d/1QqKyyYR6Q21VydFLVH3TRQUabQu_ym0Zz7PgGX0-kHA/edit?usp=sharing"",""แผน!AS33"")"),0)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IFERROR(__xludf.DUMMYFUNCTION("IMPORTRANGE(""https://docs.google.com/spreadsheets/d/1QqKyyYR6Q21VydFLVH3TRQUabQu_ym0Zz7PgGX0-kHA/edit?usp=sharing"",""แผน!AV33"")"),0)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IFERROR(__xludf.DUMMYFUNCTION("IMPORTRANGE(""https://docs.google.com/spreadsheets/d/1QqKyyYR6Q21VydFLVH3TRQUabQu_ym0Zz7PgGX0-kHA/edit?usp=sharing"",""แผน!AW33"")"),0)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IFERROR(__xludf.DUMMYFUNCTION("IMPORTRANGE(""https://docs.google.com/spreadsheets/d/1QqKyyYR6Q21VydFLVH3TRQUabQu_ym0Zz7PgGX0-kHA/edit?usp=sharing"",""แผน!AX33"")"),0)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IFERROR(__xludf.DUMMYFUNCTION("IMPORTRANGE(""https://docs.google.com/spreadsheets/d/1QqKyyYR6Q21VydFLVH3TRQUabQu_ym0Zz7PgGX0-kHA/edit?usp=sharing"",""แผน!AY33"")"),0)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IFERROR(__xludf.DUMMYFUNCTION("IMPORTRANGE(""https://docs.google.com/spreadsheets/d/1QqKyyYR6Q21VydFLVH3TRQUabQu_ym0Zz7PgGX0-kHA/edit?usp=sharing"",""แผน!BE33"")"),0)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IFERROR(__xludf.DUMMYFUNCTION("IMPORTRANGE(""https://docs.google.com/spreadsheets/d/1QqKyyYR6Q21VydFLVH3TRQUabQu_ym0Zz7PgGX0-kHA/edit?usp=sharing"",""แผน!AZ33"")"),0)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IFERROR(__xludf.DUMMYFUNCTION("IMPORTRANGE(""https://docs.google.com/spreadsheets/d/1QqKyyYR6Q21VydFLVH3TRQUabQu_ym0Zz7PgGX0-kHA/edit?usp=sharing"",""แผน!BA33"")"),0)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IFERROR(__xludf.DUMMYFUNCTION("IMPORTRANGE(""https://docs.google.com/spreadsheets/d/1QqKyyYR6Q21VydFLVH3TRQUabQu_ym0Zz7PgGX0-kHA/edit?usp=sharing"",""แผน!BB33"")"),0)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IFERROR(__xludf.DUMMYFUNCTION("IMPORTRANGE(""https://docs.google.com/spreadsheets/d/1QqKyyYR6Q21VydFLVH3TRQUabQu_ym0Zz7PgGX0-kHA/edit?usp=sharing"",""แผน!BC33"")"),0)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IFERROR(__xludf.DUMMYFUNCTION("IMPORTRANGE(""https://docs.google.com/spreadsheets/d/1QqKyyYR6Q21VydFLVH3TRQUabQu_ym0Zz7PgGX0-kHA/edit?usp=sharing"",""แผน!BF33"")"),0)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26</v>
      </c>
      <c r="J260" s="1073">
        <f t="shared" si="115"/>
        <v>26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30700</v>
      </c>
      <c r="M261" s="1004">
        <f t="shared" ca="1" si="116"/>
        <v>27700</v>
      </c>
      <c r="N261" s="1004">
        <f t="shared" ca="1" si="116"/>
        <v>25340</v>
      </c>
      <c r="O261" s="1004">
        <f t="shared" ref="O261:O269" ca="1" si="117">IF(L261&gt;0,N261*100/L261,0)</f>
        <v>82.54071661237785</v>
      </c>
      <c r="P261" s="1004">
        <f t="shared" ref="P261:P269" ca="1" si="118">IF(M261&gt;0,N261*100/M261,0)</f>
        <v>91.480144404332137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30700</v>
      </c>
      <c r="M263" s="899">
        <f t="shared" ca="1" si="119"/>
        <v>27700</v>
      </c>
      <c r="N263" s="899">
        <f t="shared" ca="1" si="119"/>
        <v>25340</v>
      </c>
      <c r="O263" s="899">
        <f t="shared" ca="1" si="117"/>
        <v>82.54071661237785</v>
      </c>
      <c r="P263" s="899">
        <f t="shared" ca="1" si="118"/>
        <v>91.480144404332137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30700</v>
      </c>
      <c r="M264" s="893">
        <f t="shared" ca="1" si="120"/>
        <v>27700</v>
      </c>
      <c r="N264" s="893">
        <f t="shared" ca="1" si="120"/>
        <v>25340</v>
      </c>
      <c r="O264" s="893">
        <f t="shared" ca="1" si="117"/>
        <v>82.54071661237785</v>
      </c>
      <c r="P264" s="893">
        <f t="shared" ca="1" si="118"/>
        <v>91.480144404332137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IFERROR(__xludf.DUMMYFUNCTION("IMPORTRANGE(""https://docs.google.com/spreadsheets/d/1MeEWN-I1oV_STSDYn1IFDPWt_1FKiwhDph83XaGc0o0/edit?usp=sharing"",""งบพรบ!CY33"")"),30700)</f>
        <v>30700</v>
      </c>
      <c r="M266" s="899">
        <f ca="1">IFERROR(__xludf.DUMMYFUNCTION("IMPORTRANGE(""https://docs.google.com/spreadsheets/d/1MeEWN-I1oV_STSDYn1IFDPWt_1FKiwhDph83XaGc0o0/edit?usp=sharing"",""งบพรบ!DD33"")"),27700)</f>
        <v>27700</v>
      </c>
      <c r="N266" s="899">
        <f ca="1">IFERROR(__xludf.DUMMYFUNCTION("IMPORTRANGE(""https://docs.google.com/spreadsheets/d/1MeEWN-I1oV_STSDYn1IFDPWt_1FKiwhDph83XaGc0o0/edit?usp=sharing"",""งบพรบ!DF33"")"),25340)</f>
        <v>25340</v>
      </c>
      <c r="O266" s="899">
        <f t="shared" ca="1" si="117"/>
        <v>82.54071661237785</v>
      </c>
      <c r="P266" s="899">
        <f t="shared" ca="1" si="118"/>
        <v>91.480144404332137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IFERROR(__xludf.DUMMYFUNCTION("IMPORTRANGE(""https://docs.google.com/spreadsheets/d/1MeEWN-I1oV_STSDYn1IFDPWt_1FKiwhDph83XaGc0o0/edit?usp=sharing"",""งบพรบ!DB33"")"),0)</f>
        <v>0</v>
      </c>
      <c r="M269" s="899">
        <f ca="1">IFERROR(__xludf.DUMMYFUNCTION("IMPORTRANGE(""https://docs.google.com/spreadsheets/d/1MeEWN-I1oV_STSDYn1IFDPWt_1FKiwhDph83XaGc0o0/edit?usp=sharing"",""งบพรบ!DE33"")"),0)</f>
        <v>0</v>
      </c>
      <c r="N269" s="899">
        <f ca="1">IFERROR(__xludf.DUMMYFUNCTION("IMPORTRANGE(""https://docs.google.com/spreadsheets/d/1MeEWN-I1oV_STSDYn1IFDPWt_1FKiwhDph83XaGc0o0/edit?usp=sharing"",""งบพรบ!DG33"")"),0)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IFERROR(__xludf.DUMMYFUNCTION("IMPORTRANGE(""https://docs.google.com/spreadsheets/d/1QqKyyYR6Q21VydFLVH3TRQUabQu_ym0Zz7PgGX0-kHA/edit?usp=sharing"",""แผน!EA33"")"),26)</f>
        <v>26</v>
      </c>
      <c r="J271" s="1024">
        <v>26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30</v>
      </c>
      <c r="J275" s="1170">
        <f t="shared" ca="1" si="122"/>
        <v>30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300</v>
      </c>
      <c r="J276" s="1173">
        <f t="shared" si="124"/>
        <v>300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288310</v>
      </c>
      <c r="M277" s="1004">
        <f t="shared" ca="1" si="125"/>
        <v>244160</v>
      </c>
      <c r="N277" s="1004">
        <f t="shared" ca="1" si="125"/>
        <v>160542.39999999999</v>
      </c>
      <c r="O277" s="1004">
        <f t="shared" ref="O277:O285" ca="1" si="126">IF(L277&gt;0,N277*100/L277,0)</f>
        <v>55.683951302417533</v>
      </c>
      <c r="P277" s="1004">
        <f t="shared" ref="P277:P285" ca="1" si="127">IF(M277&gt;0,N277*100/M277,0)</f>
        <v>65.752948885976409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288310</v>
      </c>
      <c r="M279" s="899">
        <f t="shared" ca="1" si="128"/>
        <v>244160</v>
      </c>
      <c r="N279" s="899">
        <f t="shared" ca="1" si="128"/>
        <v>160542.39999999999</v>
      </c>
      <c r="O279" s="899">
        <f t="shared" ca="1" si="126"/>
        <v>55.683951302417533</v>
      </c>
      <c r="P279" s="899">
        <f t="shared" ca="1" si="127"/>
        <v>65.752948885976409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288310</v>
      </c>
      <c r="M280" s="893">
        <f t="shared" ca="1" si="129"/>
        <v>244160</v>
      </c>
      <c r="N280" s="893">
        <f t="shared" ca="1" si="129"/>
        <v>160542.39999999999</v>
      </c>
      <c r="O280" s="893">
        <f t="shared" ca="1" si="126"/>
        <v>55.683951302417533</v>
      </c>
      <c r="P280" s="893">
        <f t="shared" ca="1" si="127"/>
        <v>65.752948885976409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IFERROR(__xludf.DUMMYFUNCTION("IMPORTRANGE(""https://docs.google.com/spreadsheets/d/1MeEWN-I1oV_STSDYn1IFDPWt_1FKiwhDph83XaGc0o0/edit?usp=sharing"",""งบพรบ!DI33"")"),288310)</f>
        <v>288310</v>
      </c>
      <c r="M282" s="899">
        <f ca="1">IFERROR(__xludf.DUMMYFUNCTION("IMPORTRANGE(""https://docs.google.com/spreadsheets/d/1MeEWN-I1oV_STSDYn1IFDPWt_1FKiwhDph83XaGc0o0/edit?usp=sharing"",""งบพรบ!DN33"")"),244160)</f>
        <v>244160</v>
      </c>
      <c r="N282" s="899">
        <f ca="1">IFERROR(__xludf.DUMMYFUNCTION("IMPORTRANGE(""https://docs.google.com/spreadsheets/d/1MeEWN-I1oV_STSDYn1IFDPWt_1FKiwhDph83XaGc0o0/edit?usp=sharing"",""งบพรบ!DP33"")"),160542.4)</f>
        <v>160542.39999999999</v>
      </c>
      <c r="O282" s="899">
        <f t="shared" ca="1" si="126"/>
        <v>55.683951302417533</v>
      </c>
      <c r="P282" s="899">
        <f t="shared" ca="1" si="127"/>
        <v>65.752948885976409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IFERROR(__xludf.DUMMYFUNCTION("IMPORTRANGE(""https://docs.google.com/spreadsheets/d/1MeEWN-I1oV_STSDYn1IFDPWt_1FKiwhDph83XaGc0o0/edit?usp=sharing"",""งบพรบ!DL33"")"),0)</f>
        <v>0</v>
      </c>
      <c r="M285" s="899">
        <f ca="1">IFERROR(__xludf.DUMMYFUNCTION("IMPORTRANGE(""https://docs.google.com/spreadsheets/d/1MeEWN-I1oV_STSDYn1IFDPWt_1FKiwhDph83XaGc0o0/edit?usp=sharing"",""งบพรบ!DO33"")"),0)</f>
        <v>0</v>
      </c>
      <c r="N285" s="899">
        <f ca="1">IFERROR(__xludf.DUMMYFUNCTION("IMPORTRANGE(""https://docs.google.com/spreadsheets/d/1MeEWN-I1oV_STSDYn1IFDPWt_1FKiwhDph83XaGc0o0/edit?usp=sharing"",""งบพรบ!DQ33"")"),0)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IFERROR(__xludf.DUMMYFUNCTION("IMPORTRANGE(""https://docs.google.com/spreadsheets/d/1QqKyyYR6Q21VydFLVH3TRQUabQu_ym0Zz7PgGX0-kHA/edit?usp=sharing"",""แผน!EC33"")"),300)</f>
        <v>300</v>
      </c>
      <c r="J287" s="1024">
        <v>300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IFERROR(__xludf.DUMMYFUNCTION("IMPORTRANGE(""https://docs.google.com/spreadsheets/d/1QqKyyYR6Q21VydFLVH3TRQUabQu_ym0Zz7PgGX0-kHA/edit?usp=sharing"",""แผน!EB33"")"),30)</f>
        <v>30</v>
      </c>
      <c r="J288" s="1031">
        <f ca="1">IF(AND(J291&gt;=I288,J294&gt;=I288),J294,0)</f>
        <v>30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IFERROR(__xludf.DUMMYFUNCTION("IMPORTRANGE(""https://docs.google.com/spreadsheets/d/1QqKyyYR6Q21VydFLVH3TRQUabQu_ym0Zz7PgGX0-kHA/edit?usp=sharing"",""แผน!EB33"")"),30)</f>
        <v>30</v>
      </c>
      <c r="J290" s="1024">
        <v>30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IFERROR(__xludf.DUMMYFUNCTION("IMPORTRANGE(""https://docs.google.com/spreadsheets/d/1QqKyyYR6Q21VydFLVH3TRQUabQu_ym0Zz7PgGX0-kHA/edit?usp=sharing"",""แผน!EB33"")"),30)</f>
        <v>30</v>
      </c>
      <c r="J291" s="1024">
        <v>30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IFERROR(__xludf.DUMMYFUNCTION("IMPORTRANGE(""https://docs.google.com/spreadsheets/d/1QqKyyYR6Q21VydFLVH3TRQUabQu_ym0Zz7PgGX0-kHA/edit?usp=sharing"",""แผน!EB33"")"),30)</f>
        <v>30</v>
      </c>
      <c r="J293" s="1024">
        <v>30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IFERROR(__xludf.DUMMYFUNCTION("IMPORTRANGE(""https://docs.google.com/spreadsheets/d/1QqKyyYR6Q21VydFLVH3TRQUabQu_ym0Zz7PgGX0-kHA/edit?usp=sharing"",""แผน!EB33"")"),30)</f>
        <v>30</v>
      </c>
      <c r="J294" s="1183">
        <v>30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52280</v>
      </c>
      <c r="O298" s="1004">
        <f t="shared" ref="O298:O306" ca="1" si="136">IF(L298&gt;0,N298*100/L298,0)</f>
        <v>63.446601941747574</v>
      </c>
      <c r="P298" s="1004">
        <f t="shared" ref="P298:P306" ca="1" si="137">IF(M298&gt;0,N298*100/M298,0)</f>
        <v>81.18012422360249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52280</v>
      </c>
      <c r="O300" s="899">
        <f t="shared" ca="1" si="136"/>
        <v>63.446601941747574</v>
      </c>
      <c r="P300" s="899">
        <f t="shared" ca="1" si="137"/>
        <v>81.18012422360249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52280</v>
      </c>
      <c r="O301" s="893">
        <f t="shared" ca="1" si="136"/>
        <v>63.446601941747574</v>
      </c>
      <c r="P301" s="893">
        <f t="shared" ca="1" si="137"/>
        <v>81.18012422360249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IFERROR(__xludf.DUMMYFUNCTION("IMPORTRANGE(""https://docs.google.com/spreadsheets/d/1MeEWN-I1oV_STSDYn1IFDPWt_1FKiwhDph83XaGc0o0/edit?usp=sharing"",""งบพรบ!DS33"")"),82400)</f>
        <v>82400</v>
      </c>
      <c r="M303" s="899">
        <f ca="1">IFERROR(__xludf.DUMMYFUNCTION("IMPORTRANGE(""https://docs.google.com/spreadsheets/d/1MeEWN-I1oV_STSDYn1IFDPWt_1FKiwhDph83XaGc0o0/edit?usp=sharing"",""งบพรบ!DX33"")"),64400)</f>
        <v>64400</v>
      </c>
      <c r="N303" s="899">
        <f ca="1">IFERROR(__xludf.DUMMYFUNCTION("IMPORTRANGE(""https://docs.google.com/spreadsheets/d/1MeEWN-I1oV_STSDYn1IFDPWt_1FKiwhDph83XaGc0o0/edit?usp=sharing"",""งบพรบ!DZ33"")"),52280)</f>
        <v>52280</v>
      </c>
      <c r="O303" s="899">
        <f t="shared" ca="1" si="136"/>
        <v>63.446601941747574</v>
      </c>
      <c r="P303" s="899">
        <f t="shared" ca="1" si="137"/>
        <v>81.18012422360249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IFERROR(__xludf.DUMMYFUNCTION("IMPORTRANGE(""https://docs.google.com/spreadsheets/d/1MeEWN-I1oV_STSDYn1IFDPWt_1FKiwhDph83XaGc0o0/edit?usp=sharing"",""งบพรบ!DV33"")"),0)</f>
        <v>0</v>
      </c>
      <c r="M306" s="899">
        <f ca="1">IFERROR(__xludf.DUMMYFUNCTION("IMPORTRANGE(""https://docs.google.com/spreadsheets/d/1MeEWN-I1oV_STSDYn1IFDPWt_1FKiwhDph83XaGc0o0/edit?usp=sharing"",""งบพรบ!DY33"")"),0)</f>
        <v>0</v>
      </c>
      <c r="N306" s="899">
        <f ca="1">IFERROR(__xludf.DUMMYFUNCTION("IMPORTRANGE(""https://docs.google.com/spreadsheets/d/1MeEWN-I1oV_STSDYn1IFDPWt_1FKiwhDph83XaGc0o0/edit?usp=sharing"",""งบพรบ!EA33"")"),0)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IFERROR(__xludf.DUMMYFUNCTION("IMPORTRANGE(""https://docs.google.com/spreadsheets/d/1QqKyyYR6Q21VydFLVH3TRQUabQu_ym0Zz7PgGX0-kHA/edit?usp=sharing"",""แผน!ED33"")"),20)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IFERROR(__xludf.DUMMYFUNCTION("IMPORTRANGE(""https://docs.google.com/spreadsheets/d/1QqKyyYR6Q21VydFLVH3TRQUabQu_ym0Zz7PgGX0-kHA/edit?usp=sharing"",""แผน!ED33"")"),20)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IFERROR(__xludf.DUMMYFUNCTION("IMPORTRANGE(""https://docs.google.com/spreadsheets/d/1QqKyyYR6Q21VydFLVH3TRQUabQu_ym0Zz7PgGX0-kHA/edit?usp=sharing"",""แผน!ED33"")"),20)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IFERROR(__xludf.DUMMYFUNCTION("IMPORTRANGE(""https://docs.google.com/spreadsheets/d/1QqKyyYR6Q21VydFLVH3TRQUabQu_ym0Zz7PgGX0-kHA/edit?usp=sharing"",""แผน!EE33"")"),4)</f>
        <v>4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IFERROR(__xludf.DUMMYFUNCTION("IMPORTRANGE(""https://docs.google.com/spreadsheets/d/1MeEWN-I1oV_STSDYn1IFDPWt_1FKiwhDph83XaGc0o0/edit?usp=sharing"",""งบพรบ!EC33"")"),0)</f>
        <v>0</v>
      </c>
      <c r="M320" s="899">
        <f ca="1">IFERROR(__xludf.DUMMYFUNCTION("IMPORTRANGE(""https://docs.google.com/spreadsheets/d/1MeEWN-I1oV_STSDYn1IFDPWt_1FKiwhDph83XaGc0o0/edit?usp=sharing"",""งบพรบ!EH33"")"),0)</f>
        <v>0</v>
      </c>
      <c r="N320" s="899">
        <f ca="1">IFERROR(__xludf.DUMMYFUNCTION("IMPORTRANGE(""https://docs.google.com/spreadsheets/d/1MeEWN-I1oV_STSDYn1IFDPWt_1FKiwhDph83XaGc0o0/edit?usp=sharing"",""งบพรบ!EJ33"")"),0)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IFERROR(__xludf.DUMMYFUNCTION("IMPORTRANGE(""https://docs.google.com/spreadsheets/d/1MeEWN-I1oV_STSDYn1IFDPWt_1FKiwhDph83XaGc0o0/edit?usp=sharing"",""งบพรบ!EF33"")"),0)</f>
        <v>0</v>
      </c>
      <c r="M323" s="899">
        <f ca="1">IFERROR(__xludf.DUMMYFUNCTION("IMPORTRANGE(""https://docs.google.com/spreadsheets/d/1MeEWN-I1oV_STSDYn1IFDPWt_1FKiwhDph83XaGc0o0/edit?usp=sharing"",""งบพรบ!EI33"")"),0)</f>
        <v>0</v>
      </c>
      <c r="N323" s="899">
        <f ca="1">IFERROR(__xludf.DUMMYFUNCTION("IMPORTRANGE(""https://docs.google.com/spreadsheets/d/1MeEWN-I1oV_STSDYn1IFDPWt_1FKiwhDph83XaGc0o0/edit?usp=sharing"",""งบพรบ!EK33"")"),0)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IFERROR(__xludf.DUMMYFUNCTION("IMPORTRANGE(""https://docs.google.com/spreadsheets/d/1QqKyyYR6Q21VydFLVH3TRQUabQu_ym0Zz7PgGX0-kHA/edit?usp=sharing"",""แผน!EF33"")"),0)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IFERROR(__xludf.DUMMYFUNCTION("IMPORTRANGE(""https://docs.google.com/spreadsheets/d/1QqKyyYR6Q21VydFLVH3TRQUabQu_ym0Zz7PgGX0-kHA/edit?usp=sharing"",""แผน!EG33"")"),4300)</f>
        <v>4300</v>
      </c>
      <c r="J327" s="1202">
        <f ca="1">J338+J341+J342+J343</f>
        <v>3517</v>
      </c>
      <c r="K327" s="1203">
        <f ca="1">IF(I327&gt;0,J327*100/I327,0)</f>
        <v>81.79069767441861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183000</v>
      </c>
      <c r="M328" s="1004">
        <f t="shared" ca="1" si="149"/>
        <v>139750</v>
      </c>
      <c r="N328" s="1004">
        <f t="shared" ca="1" si="149"/>
        <v>80457</v>
      </c>
      <c r="O328" s="1004">
        <f t="shared" ref="O328:O336" ca="1" si="150">IF(L328&gt;0,N328*100/L328,0)</f>
        <v>43.965573770491801</v>
      </c>
      <c r="P328" s="1004">
        <f t="shared" ref="P328:P336" ca="1" si="151">IF(M328&gt;0,N328*100/M328,0)</f>
        <v>57.572093023255817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183000</v>
      </c>
      <c r="M330" s="899">
        <f t="shared" ca="1" si="152"/>
        <v>139750</v>
      </c>
      <c r="N330" s="899">
        <f t="shared" ca="1" si="152"/>
        <v>80457</v>
      </c>
      <c r="O330" s="899">
        <f t="shared" ca="1" si="150"/>
        <v>43.965573770491801</v>
      </c>
      <c r="P330" s="899">
        <f t="shared" ca="1" si="151"/>
        <v>57.572093023255817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183000</v>
      </c>
      <c r="M331" s="893">
        <f t="shared" ca="1" si="153"/>
        <v>139750</v>
      </c>
      <c r="N331" s="893">
        <f t="shared" ca="1" si="153"/>
        <v>80457</v>
      </c>
      <c r="O331" s="893">
        <f t="shared" ca="1" si="150"/>
        <v>43.965573770491801</v>
      </c>
      <c r="P331" s="893">
        <f t="shared" ca="1" si="151"/>
        <v>57.572093023255817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IFERROR(__xludf.DUMMYFUNCTION("IMPORTRANGE(""https://docs.google.com/spreadsheets/d/1MeEWN-I1oV_STSDYn1IFDPWt_1FKiwhDph83XaGc0o0/edit?usp=sharing"",""งบพรบ!EM33"")"),183000)</f>
        <v>183000</v>
      </c>
      <c r="M333" s="899">
        <f ca="1">IFERROR(__xludf.DUMMYFUNCTION("IMPORTRANGE(""https://docs.google.com/spreadsheets/d/1MeEWN-I1oV_STSDYn1IFDPWt_1FKiwhDph83XaGc0o0/edit?usp=sharing"",""งบพรบ!ER33"")"),139750)</f>
        <v>139750</v>
      </c>
      <c r="N333" s="899">
        <f ca="1">IFERROR(__xludf.DUMMYFUNCTION("IMPORTRANGE(""https://docs.google.com/spreadsheets/d/1MeEWN-I1oV_STSDYn1IFDPWt_1FKiwhDph83XaGc0o0/edit?usp=sharing"",""งบพรบ!ET33"")"),80457)</f>
        <v>80457</v>
      </c>
      <c r="O333" s="899">
        <f t="shared" ca="1" si="150"/>
        <v>43.965573770491801</v>
      </c>
      <c r="P333" s="899">
        <f t="shared" ca="1" si="151"/>
        <v>57.572093023255817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IFERROR(__xludf.DUMMYFUNCTION("IMPORTRANGE(""https://docs.google.com/spreadsheets/d/1MeEWN-I1oV_STSDYn1IFDPWt_1FKiwhDph83XaGc0o0/edit?usp=sharing"",""งบพรบ!EP33"")"),0)</f>
        <v>0</v>
      </c>
      <c r="M336" s="899">
        <f ca="1">IFERROR(__xludf.DUMMYFUNCTION("IMPORTRANGE(""https://docs.google.com/spreadsheets/d/1MeEWN-I1oV_STSDYn1IFDPWt_1FKiwhDph83XaGc0o0/edit?usp=sharing"",""งบพรบ!ES33"")"),0)</f>
        <v>0</v>
      </c>
      <c r="N336" s="899">
        <f ca="1">IFERROR(__xludf.DUMMYFUNCTION("IMPORTRANGE(""https://docs.google.com/spreadsheets/d/1MeEWN-I1oV_STSDYn1IFDPWt_1FKiwhDph83XaGc0o0/edit?usp=sharing"",""งบพรบ!EU33"")"),0)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IFERROR(__xludf.DUMMYFUNCTION("IMPORTRANGE(""https://docs.google.com/spreadsheets/d/1QqKyyYR6Q21VydFLVH3TRQUabQu_ym0Zz7PgGX0-kHA/edit?usp=sharing"",""แผน!EG33"")"),4300)</f>
        <v>4300</v>
      </c>
      <c r="J338" s="892">
        <f ca="1">IFERROR(__xludf.DUMMYFUNCTION("IMPORTRANGE(""https://docs.google.com/spreadsheets/d/1kVcqe37tkHyjCSG3S0O1AXqVkqjo8mSIZil3BcpIysc/edit?usp=sharing"",""ศูนย์!D33"")"),3257)</f>
        <v>3257</v>
      </c>
      <c r="K338" s="893">
        <f ca="1">IF(I338&gt;0,J338*100/I338,0)</f>
        <v>75.744186046511629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IFERROR(__xludf.DUMMYFUNCTION("IMPORTRANGE(""https://docs.google.com/spreadsheets/d/1QqKyyYR6Q21VydFLVH3TRQUabQu_ym0Zz7PgGX0-kHA/edit?usp=sharing"",""แผน!EH33"")"),10)</f>
        <v>10</v>
      </c>
      <c r="J340" s="892">
        <f ca="1">IFERROR(__xludf.DUMMYFUNCTION("IMPORTRANGE(""https://docs.google.com/spreadsheets/d/1kVcqe37tkHyjCSG3S0O1AXqVkqjo8mSIZil3BcpIysc/edit?usp=sharing"",""ศูนย์!E33"")"),7)</f>
        <v>7</v>
      </c>
      <c r="K340" s="893">
        <f ca="1">IF(I340&gt;0,J340*100/I340,0)</f>
        <v>70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IFERROR(__xludf.DUMMYFUNCTION("IMPORTRANGE(""https://docs.google.com/spreadsheets/d/1kVcqe37tkHyjCSG3S0O1AXqVkqjo8mSIZil3BcpIysc/edit?usp=sharing"",""ศูนย์!F33"")"),260)</f>
        <v>260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IFERROR(__xludf.DUMMYFUNCTION("IMPORTRANGE(""https://docs.google.com/spreadsheets/d/1kVcqe37tkHyjCSG3S0O1AXqVkqjo8mSIZil3BcpIysc/edit?usp=sharing"",""ศูนย์!G33"")"),0)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IFERROR(__xludf.DUMMYFUNCTION("IMPORTRANGE(""https://docs.google.com/spreadsheets/d/1kVcqe37tkHyjCSG3S0O1AXqVkqjo8mSIZil3BcpIysc/edit?usp=sharing"",""ศูนย์!H33"")"),0)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1082650</v>
      </c>
      <c r="M345" s="1004">
        <f t="shared" ca="1" si="155"/>
        <v>946350</v>
      </c>
      <c r="N345" s="1004">
        <f t="shared" ca="1" si="155"/>
        <v>708672.5</v>
      </c>
      <c r="O345" s="1004">
        <f t="shared" ref="O345:O353" ca="1" si="156">IF(L345&gt;0,N345*100/L345,0)</f>
        <v>65.45721147185148</v>
      </c>
      <c r="P345" s="1004">
        <f t="shared" ref="P345:P353" ca="1" si="157">IF(M345&gt;0,N345*100/M345,0)</f>
        <v>74.884820626618065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1082650</v>
      </c>
      <c r="M347" s="899">
        <f t="shared" ca="1" si="158"/>
        <v>946350</v>
      </c>
      <c r="N347" s="899">
        <f t="shared" ca="1" si="158"/>
        <v>708672.5</v>
      </c>
      <c r="O347" s="899">
        <f t="shared" ca="1" si="156"/>
        <v>65.45721147185148</v>
      </c>
      <c r="P347" s="899">
        <f t="shared" ca="1" si="157"/>
        <v>74.884820626618065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984850</v>
      </c>
      <c r="M348" s="893">
        <f t="shared" ca="1" si="159"/>
        <v>849150</v>
      </c>
      <c r="N348" s="893">
        <f t="shared" ca="1" si="159"/>
        <v>611472.5</v>
      </c>
      <c r="O348" s="893">
        <f t="shared" ca="1" si="156"/>
        <v>62.087881403259381</v>
      </c>
      <c r="P348" s="893">
        <f t="shared" ca="1" si="157"/>
        <v>72.009951127598185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IFERROR(__xludf.DUMMYFUNCTION("IMPORTRANGE(""https://docs.google.com/spreadsheets/d/1MeEWN-I1oV_STSDYn1IFDPWt_1FKiwhDph83XaGc0o0/edit?usp=sharing"",""งบพรบ!EW33"")"),984850)</f>
        <v>984850</v>
      </c>
      <c r="M350" s="899">
        <f ca="1">IFERROR(__xludf.DUMMYFUNCTION("IMPORTRANGE(""https://docs.google.com/spreadsheets/d/1MeEWN-I1oV_STSDYn1IFDPWt_1FKiwhDph83XaGc0o0/edit?usp=sharing"",""งบพรบ!FB33"")"),849150)</f>
        <v>849150</v>
      </c>
      <c r="N350" s="899">
        <f ca="1">IFERROR(__xludf.DUMMYFUNCTION("IMPORTRANGE(""https://docs.google.com/spreadsheets/d/1MeEWN-I1oV_STSDYn1IFDPWt_1FKiwhDph83XaGc0o0/edit?usp=sharing"",""งบพรบ!FD33"")"),611472.5)</f>
        <v>611472.5</v>
      </c>
      <c r="O350" s="899">
        <f t="shared" ca="1" si="156"/>
        <v>62.087881403259381</v>
      </c>
      <c r="P350" s="899">
        <f t="shared" ca="1" si="157"/>
        <v>72.009951127598185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97800</v>
      </c>
      <c r="M351" s="893">
        <f t="shared" ca="1" si="160"/>
        <v>97200</v>
      </c>
      <c r="N351" s="893">
        <f t="shared" ca="1" si="160"/>
        <v>97200</v>
      </c>
      <c r="O351" s="893">
        <f t="shared" ca="1" si="156"/>
        <v>99.386503067484668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IFERROR(__xludf.DUMMYFUNCTION("IMPORTRANGE(""https://docs.google.com/spreadsheets/d/1MeEWN-I1oV_STSDYn1IFDPWt_1FKiwhDph83XaGc0o0/edit?usp=sharing"",""งบพรบ!EZ33"")"),97800)</f>
        <v>97800</v>
      </c>
      <c r="M353" s="899">
        <f ca="1">IFERROR(__xludf.DUMMYFUNCTION("IMPORTRANGE(""https://docs.google.com/spreadsheets/d/1MeEWN-I1oV_STSDYn1IFDPWt_1FKiwhDph83XaGc0o0/edit?usp=sharing"",""งบพรบ!FC33"")"),97200)</f>
        <v>97200</v>
      </c>
      <c r="N353" s="899">
        <f ca="1">IFERROR(__xludf.DUMMYFUNCTION("IMPORTRANGE(""https://docs.google.com/spreadsheets/d/1MeEWN-I1oV_STSDYn1IFDPWt_1FKiwhDph83XaGc0o0/edit?usp=sharing"",""งบพรบ!FE33"")"),97200)</f>
        <v>97200</v>
      </c>
      <c r="O353" s="899">
        <f t="shared" ca="1" si="156"/>
        <v>99.386503067484668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IFERROR(__xludf.DUMMYFUNCTION("IMPORTRANGE(""https://docs.google.com/spreadsheets/d/1QqKyyYR6Q21VydFLVH3TRQUabQu_ym0Zz7PgGX0-kHA/edit?usp=sharing"",""แผน!EP33"")"),450)</f>
        <v>450</v>
      </c>
      <c r="J355" s="1218">
        <f ca="1">J362</f>
        <v>155</v>
      </c>
      <c r="K355" s="1219">
        <f ca="1">IF(I355&gt;0,J355*100/I355,0)</f>
        <v>34.444444444444443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IFERROR(__xludf.DUMMYFUNCTION("IMPORTRANGE(""https://docs.google.com/spreadsheets/d/1XWAQStnk-4SwqDmLtmXYiTMKHgktTP8We1SCoS47DrQ/edit?usp=sharing"",""จัดที่ดิน!W33"")"),218)</f>
        <v>218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IFERROR(__xludf.DUMMYFUNCTION("IMPORTRANGE(""https://docs.google.com/spreadsheets/d/1QqKyyYR6Q21VydFLVH3TRQUabQu_ym0Zz7PgGX0-kHA/edit?usp=sharing"",""แผน!EO33"")"),4500)</f>
        <v>4500</v>
      </c>
      <c r="J359" s="892">
        <f ca="1">IFERROR(__xludf.DUMMYFUNCTION("IMPORTRANGE(""https://docs.google.com/spreadsheets/d/1XWAQStnk-4SwqDmLtmXYiTMKHgktTP8We1SCoS47DrQ/edit?usp=sharing"",""จัดที่ดิน!X33"")"),2048.34)</f>
        <v>2048.34</v>
      </c>
      <c r="K359" s="893">
        <f t="shared" ca="1" si="161"/>
        <v>45.518666666666668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IFERROR(__xludf.DUMMYFUNCTION("IMPORTRANGE(""https://docs.google.com/spreadsheets/d/1QqKyyYR6Q21VydFLVH3TRQUabQu_ym0Zz7PgGX0-kHA/edit?usp=sharing"",""แผน!EP33"")"),450)</f>
        <v>450</v>
      </c>
      <c r="J360" s="892">
        <f ca="1">IFERROR(__xludf.DUMMYFUNCTION("IMPORTRANGE(""https://docs.google.com/spreadsheets/d/1XWAQStnk-4SwqDmLtmXYiTMKHgktTP8We1SCoS47DrQ/edit?usp=sharing"",""จัดที่ดิน!Y33"")"),163)</f>
        <v>163</v>
      </c>
      <c r="K360" s="893">
        <f t="shared" ca="1" si="161"/>
        <v>36.222222222222221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IFERROR(__xludf.DUMMYFUNCTION("IMPORTRANGE(""https://docs.google.com/spreadsheets/d/1XWAQStnk-4SwqDmLtmXYiTMKHgktTP8We1SCoS47DrQ/edit?usp=sharing"",""จัดที่ดิน!Z33"")"),1378.32)</f>
        <v>1378.32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IFERROR(__xludf.DUMMYFUNCTION("IMPORTRANGE(""https://docs.google.com/spreadsheets/d/1QqKyyYR6Q21VydFLVH3TRQUabQu_ym0Zz7PgGX0-kHA/edit?usp=sharing"",""แผน!EP33"")"),450)</f>
        <v>450</v>
      </c>
      <c r="J362" s="892">
        <f ca="1">IFERROR(__xludf.DUMMYFUNCTION("IMPORTRANGE(""https://docs.google.com/spreadsheets/d/1XWAQStnk-4SwqDmLtmXYiTMKHgktTP8We1SCoS47DrQ/edit?usp=sharing"",""จัดที่ดิน!AA33"")"),155)</f>
        <v>155</v>
      </c>
      <c r="K362" s="893">
        <f t="shared" ca="1" si="161"/>
        <v>34.444444444444443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IFERROR(__xludf.DUMMYFUNCTION("IMPORTRANGE(""https://docs.google.com/spreadsheets/d/1XWAQStnk-4SwqDmLtmXYiTMKHgktTP8We1SCoS47DrQ/edit?usp=sharing"",""จัดที่ดิน!AB33"")"),1296.78)</f>
        <v>1296.78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1200</v>
      </c>
      <c r="J364" s="1231">
        <f t="shared" ca="1" si="162"/>
        <v>670</v>
      </c>
      <c r="K364" s="1232">
        <f t="shared" ca="1" si="161"/>
        <v>55.833333333333336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IFERROR(__xludf.DUMMYFUNCTION("IMPORTRANGE(""https://docs.google.com/spreadsheets/d/1QqKyyYR6Q21VydFLVH3TRQUabQu_ym0Zz7PgGX0-kHA/edit?usp=sharing"",""แผน!EJ33"")"),100)</f>
        <v>100</v>
      </c>
      <c r="J365" s="1239">
        <f ca="1">J372</f>
        <v>39</v>
      </c>
      <c r="K365" s="1240">
        <f t="shared" ca="1" si="161"/>
        <v>39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IFERROR(__xludf.DUMMYFUNCTION("IMPORTRANGE(""https://docs.google.com/spreadsheets/d/1XWAQStnk-4SwqDmLtmXYiTMKHgktTP8We1SCoS47DrQ/edit?usp=sharing"",""จัดที่ดิน!E33"")"),102)</f>
        <v>102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IFERROR(__xludf.DUMMYFUNCTION("IMPORTRANGE(""https://docs.google.com/spreadsheets/d/1QqKyyYR6Q21VydFLVH3TRQUabQu_ym0Zz7PgGX0-kHA/edit?usp=sharing"",""แผน!EI33"")"),1000)</f>
        <v>1000</v>
      </c>
      <c r="J369" s="892">
        <f ca="1">IFERROR(__xludf.DUMMYFUNCTION("IMPORTRANGE(""https://docs.google.com/spreadsheets/d/1XWAQStnk-4SwqDmLtmXYiTMKHgktTP8We1SCoS47DrQ/edit?usp=sharing"",""จัดที่ดิน!F33"")"),1083.01)</f>
        <v>1083.01</v>
      </c>
      <c r="K369" s="893">
        <f t="shared" ca="1" si="163"/>
        <v>108.301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IFERROR(__xludf.DUMMYFUNCTION("IMPORTRANGE(""https://docs.google.com/spreadsheets/d/1QqKyyYR6Q21VydFLVH3TRQUabQu_ym0Zz7PgGX0-kHA/edit?usp=sharing"",""แผน!EJ33"")"),100)</f>
        <v>100</v>
      </c>
      <c r="J370" s="892">
        <f ca="1">IFERROR(__xludf.DUMMYFUNCTION("IMPORTRANGE(""https://docs.google.com/spreadsheets/d/1XWAQStnk-4SwqDmLtmXYiTMKHgktTP8We1SCoS47DrQ/edit?usp=sharing"",""จัดที่ดิน!G33"")"),47)</f>
        <v>47</v>
      </c>
      <c r="K370" s="893">
        <f t="shared" ca="1" si="163"/>
        <v>47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IFERROR(__xludf.DUMMYFUNCTION("IMPORTRANGE(""https://docs.google.com/spreadsheets/d/1XWAQStnk-4SwqDmLtmXYiTMKHgktTP8We1SCoS47DrQ/edit?usp=sharing"",""จัดที่ดิน!H33"")"),412.99)</f>
        <v>412.99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IFERROR(__xludf.DUMMYFUNCTION("IMPORTRANGE(""https://docs.google.com/spreadsheets/d/1QqKyyYR6Q21VydFLVH3TRQUabQu_ym0Zz7PgGX0-kHA/edit?usp=sharing"",""แผน!EJ33"")"),100)</f>
        <v>100</v>
      </c>
      <c r="J372" s="892">
        <f ca="1">IFERROR(__xludf.DUMMYFUNCTION("IMPORTRANGE(""https://docs.google.com/spreadsheets/d/1XWAQStnk-4SwqDmLtmXYiTMKHgktTP8We1SCoS47DrQ/edit?usp=sharing"",""จัดที่ดิน!I33"")"),39)</f>
        <v>39</v>
      </c>
      <c r="K372" s="893">
        <f t="shared" ca="1" si="163"/>
        <v>39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IFERROR(__xludf.DUMMYFUNCTION("IMPORTRANGE(""https://docs.google.com/spreadsheets/d/1XWAQStnk-4SwqDmLtmXYiTMKHgktTP8We1SCoS47DrQ/edit?usp=sharing"",""จัดที่ดิน!J33"")"),331.45)</f>
        <v>331.45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IFERROR(__xludf.DUMMYFUNCTION("IMPORTRANGE(""https://docs.google.com/spreadsheets/d/1QqKyyYR6Q21VydFLVH3TRQUabQu_ym0Zz7PgGX0-kHA/edit?usp=sharing"",""แผน!EU33"")"),1100)</f>
        <v>1100</v>
      </c>
      <c r="J374" s="1239">
        <f ca="1">J381</f>
        <v>631</v>
      </c>
      <c r="K374" s="1240">
        <f t="shared" ca="1" si="163"/>
        <v>57.363636363636367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IFERROR(__xludf.DUMMYFUNCTION("IMPORTRANGE(""https://docs.google.com/spreadsheets/d/1XWAQStnk-4SwqDmLtmXYiTMKHgktTP8We1SCoS47DrQ/edit?usp=sharing"",""จัดที่ดิน!AH33"")"),116)</f>
        <v>116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IFERROR(__xludf.DUMMYFUNCTION("IMPORTRANGE(""https://docs.google.com/spreadsheets/d/1QqKyyYR6Q21VydFLVH3TRQUabQu_ym0Zz7PgGX0-kHA/edit?usp=sharing"",""แผน!ET33"")"),3500)</f>
        <v>3500</v>
      </c>
      <c r="J378" s="892">
        <f ca="1">IFERROR(__xludf.DUMMYFUNCTION("IMPORTRANGE(""https://docs.google.com/spreadsheets/d/1XWAQStnk-4SwqDmLtmXYiTMKHgktTP8We1SCoS47DrQ/edit?usp=sharing"",""จัดที่ดิน!AI33"")"),965.33)</f>
        <v>965.33</v>
      </c>
      <c r="K378" s="893">
        <f t="shared" ca="1" si="164"/>
        <v>27.580857142857141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IFERROR(__xludf.DUMMYFUNCTION("IMPORTRANGE(""https://docs.google.com/spreadsheets/d/1QqKyyYR6Q21VydFLVH3TRQUabQu_ym0Zz7PgGX0-kHA/edit?usp=sharing"",""แผน!EU33"")"),1100)</f>
        <v>1100</v>
      </c>
      <c r="J379" s="892">
        <f ca="1">IFERROR(__xludf.DUMMYFUNCTION("IMPORTRANGE(""https://docs.google.com/spreadsheets/d/1XWAQStnk-4SwqDmLtmXYiTMKHgktTP8We1SCoS47DrQ/edit?usp=sharing"",""จัดที่ดิน!AJ33"")"),686)</f>
        <v>686</v>
      </c>
      <c r="K379" s="893">
        <f t="shared" ca="1" si="164"/>
        <v>62.363636363636367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IFERROR(__xludf.DUMMYFUNCTION("IMPORTRANGE(""https://docs.google.com/spreadsheets/d/1XWAQStnk-4SwqDmLtmXYiTMKHgktTP8We1SCoS47DrQ/edit?usp=sharing"",""จัดที่ดิน!AK33"")"),8206.74)</f>
        <v>8206.74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IFERROR(__xludf.DUMMYFUNCTION("IMPORTRANGE(""https://docs.google.com/spreadsheets/d/1QqKyyYR6Q21VydFLVH3TRQUabQu_ym0Zz7PgGX0-kHA/edit?usp=sharing"",""แผน!EU33"")"),1100)</f>
        <v>1100</v>
      </c>
      <c r="J381" s="892">
        <f ca="1">IFERROR(__xludf.DUMMYFUNCTION("IMPORTRANGE(""https://docs.google.com/spreadsheets/d/1XWAQStnk-4SwqDmLtmXYiTMKHgktTP8We1SCoS47DrQ/edit?usp=sharing"",""จัดที่ดิน!AL33"")"),631)</f>
        <v>631</v>
      </c>
      <c r="K381" s="893">
        <f t="shared" ca="1" si="164"/>
        <v>57.363636363636367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IFERROR(__xludf.DUMMYFUNCTION("IMPORTRANGE(""https://docs.google.com/spreadsheets/d/1XWAQStnk-4SwqDmLtmXYiTMKHgktTP8We1SCoS47DrQ/edit?usp=sharing"",""จัดที่ดิน!AM33"")"),7566.76999999999)</f>
        <v>7566.7699999999904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IFERROR(__xludf.DUMMYFUNCTION("IMPORTRANGE(""https://docs.google.com/spreadsheets/d/1QqKyyYR6Q21VydFLVH3TRQUabQu_ym0Zz7PgGX0-kHA/edit?usp=sharing"",""แผน!EW33"")"),20)</f>
        <v>20</v>
      </c>
      <c r="J385" s="1149">
        <f ca="1">IFERROR(__xludf.DUMMYFUNCTION("IMPORTRANGE(""https://docs.google.com/spreadsheets/d/1XWAQStnk-4SwqDmLtmXYiTMKHgktTP8We1SCoS47DrQ/edit?usp=sharing"",""จัดที่ดิน!AP33"")"),3)</f>
        <v>3</v>
      </c>
      <c r="K385" s="1251">
        <f ca="1">IF(I385&gt;0,J385*100/I385,0)</f>
        <v>15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IFERROR(__xludf.DUMMYFUNCTION("IMPORTRANGE(""https://docs.google.com/spreadsheets/d/1MeEWN-I1oV_STSDYn1IFDPWt_1FKiwhDph83XaGc0o0/edit?usp=sharing"",""งบพรบ!FG33"")"),0)</f>
        <v>0</v>
      </c>
      <c r="M394" s="899">
        <f ca="1">IFERROR(__xludf.DUMMYFUNCTION("IMPORTRANGE(""https://docs.google.com/spreadsheets/d/1MeEWN-I1oV_STSDYn1IFDPWt_1FKiwhDph83XaGc0o0/edit?usp=sharing"",""งบพรบ!FL33"")"),0)</f>
        <v>0</v>
      </c>
      <c r="N394" s="899">
        <f ca="1">IFERROR(__xludf.DUMMYFUNCTION("IMPORTRANGE(""https://docs.google.com/spreadsheets/d/1MeEWN-I1oV_STSDYn1IFDPWt_1FKiwhDph83XaGc0o0/edit?usp=sharing"",""งบพรบ!FN33"")"),0)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IFERROR(__xludf.DUMMYFUNCTION("IMPORTRANGE(""https://docs.google.com/spreadsheets/d/1MeEWN-I1oV_STSDYn1IFDPWt_1FKiwhDph83XaGc0o0/edit?usp=sharing"",""งบพรบ!FJ33"")"),0)</f>
        <v>0</v>
      </c>
      <c r="M397" s="899">
        <f ca="1">IFERROR(__xludf.DUMMYFUNCTION("IMPORTRANGE(""https://docs.google.com/spreadsheets/d/1MeEWN-I1oV_STSDYn1IFDPWt_1FKiwhDph83XaGc0o0/edit?usp=sharing"",""งบพรบ!FM33"")"),0)</f>
        <v>0</v>
      </c>
      <c r="N397" s="899">
        <f ca="1">IFERROR(__xludf.DUMMYFUNCTION("IMPORTRANGE(""https://docs.google.com/spreadsheets/d/1MeEWN-I1oV_STSDYn1IFDPWt_1FKiwhDph83XaGc0o0/edit?usp=sharing"",""งบพรบ!FO33"")"),0)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IFERROR(__xludf.DUMMYFUNCTION("IMPORTRANGE(""https://docs.google.com/spreadsheets/d/1MeEWN-I1oV_STSDYn1IFDPWt_1FKiwhDph83XaGc0o0/edit?usp=sharing"",""งบพรบ!FQ33"")"),0)</f>
        <v>0</v>
      </c>
      <c r="M407" s="899">
        <f ca="1">IFERROR(__xludf.DUMMYFUNCTION("IMPORTRANGE(""https://docs.google.com/spreadsheets/d/1MeEWN-I1oV_STSDYn1IFDPWt_1FKiwhDph83XaGc0o0/edit?usp=sharing"",""งบพรบ!FV33"")"),0)</f>
        <v>0</v>
      </c>
      <c r="N407" s="899">
        <f ca="1">IFERROR(__xludf.DUMMYFUNCTION("IMPORTRANGE(""https://docs.google.com/spreadsheets/d/1MeEWN-I1oV_STSDYn1IFDPWt_1FKiwhDph83XaGc0o0/edit?usp=sharing"",""งบพรบ!FX33"")"),0)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IFERROR(__xludf.DUMMYFUNCTION("IMPORTRANGE(""https://docs.google.com/spreadsheets/d/1MeEWN-I1oV_STSDYn1IFDPWt_1FKiwhDph83XaGc0o0/edit?usp=sharing"",""งบพรบ!FT33"")"),0)</f>
        <v>0</v>
      </c>
      <c r="M410" s="899">
        <f ca="1">IFERROR(__xludf.DUMMYFUNCTION("IMPORTRANGE(""https://docs.google.com/spreadsheets/d/1MeEWN-I1oV_STSDYn1IFDPWt_1FKiwhDph83XaGc0o0/edit?usp=sharing"",""งบพรบ!FW33"")"),0)</f>
        <v>0</v>
      </c>
      <c r="N410" s="899">
        <f ca="1">IFERROR(__xludf.DUMMYFUNCTION("IMPORTRANGE(""https://docs.google.com/spreadsheets/d/1MeEWN-I1oV_STSDYn1IFDPWt_1FKiwhDph83XaGc0o0/edit?usp=sharing"",""งบพรบ!FY33"")"),0)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1659511</v>
      </c>
      <c r="M414" s="1293">
        <f t="shared" ca="1" si="181"/>
        <v>1659511</v>
      </c>
      <c r="N414" s="1293">
        <f t="shared" si="181"/>
        <v>554704.19999999995</v>
      </c>
      <c r="O414" s="1293">
        <f ca="1">IF(L414&gt;0,N414*100/L414,0)</f>
        <v>33.425762167289037</v>
      </c>
      <c r="P414" s="1293">
        <f ca="1">IF(M414&gt;0,N414*100/M414,0)</f>
        <v>33.425762167289037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57070</v>
      </c>
      <c r="O419" s="1004">
        <f t="shared" ref="O419:O424" ca="1" si="185">IF(L419&gt;0,N419*100/L419,0)</f>
        <v>72.552758708365118</v>
      </c>
      <c r="P419" s="1004">
        <f t="shared" ref="P419:P424" ca="1" si="186">IF(M419&gt;0,N419*100/M419,0)</f>
        <v>72.552758708365118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57070</v>
      </c>
      <c r="O421" s="899">
        <f t="shared" ca="1" si="185"/>
        <v>72.552758708365118</v>
      </c>
      <c r="P421" s="899">
        <f t="shared" ca="1" si="186"/>
        <v>72.552758708365118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57070</v>
      </c>
      <c r="O422" s="893">
        <f t="shared" ca="1" si="185"/>
        <v>72.552758708365118</v>
      </c>
      <c r="P422" s="893">
        <f t="shared" ca="1" si="186"/>
        <v>72.552758708365118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IFERROR(__xludf.DUMMYFUNCTION("IMPORTRANGE(""https://docs.google.com/spreadsheets/d/1QqKyyYR6Q21VydFLVH3TRQUabQu_ym0Zz7PgGX0-kHA/edit?usp=sharing"",""แผน!EY33"")"),78660)</f>
        <v>78660</v>
      </c>
      <c r="M424" s="899">
        <f ca="1">L424</f>
        <v>78660</v>
      </c>
      <c r="N424" s="899">
        <f>N425+N426+N427+N428</f>
        <v>57070</v>
      </c>
      <c r="O424" s="899">
        <f t="shared" ca="1" si="185"/>
        <v>72.552758708365118</v>
      </c>
      <c r="P424" s="899">
        <f t="shared" ca="1" si="186"/>
        <v>72.552758708365118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33510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23560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IFERROR(__xludf.DUMMYFUNCTION("IMPORTRANGE(""https://docs.google.com/spreadsheets/d/1QqKyyYR6Q21VydFLVH3TRQUabQu_ym0Zz7PgGX0-kHA/edit?usp=sharing"",""แผน!FB33"")"),0)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IFERROR(__xludf.DUMMYFUNCTION("IMPORTRANGE(""https://docs.google.com/spreadsheets/d/1QqKyyYR6Q21VydFLVH3TRQUabQu_ym0Zz7PgGX0-kHA/edit?usp=sharing"",""แผน!FE33"")"),0)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IFERROR(__xludf.DUMMYFUNCTION("IMPORTRANGE(""https://docs.google.com/spreadsheets/d/1QqKyyYR6Q21VydFLVH3TRQUabQu_ym0Zz7PgGX0-kHA/edit?usp=sharing"",""แผน!FG33"")"),1)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IFERROR(__xludf.DUMMYFUNCTION("IMPORTRANGE(""https://docs.google.com/spreadsheets/d/1QqKyyYR6Q21VydFLVH3TRQUabQu_ym0Zz7PgGX0-kHA/edit?usp=sharing"",""แผน!FH33"")"),0)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55</v>
      </c>
      <c r="J442" s="1322">
        <f t="shared" si="195"/>
        <v>55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95</v>
      </c>
      <c r="J443" s="1306">
        <f t="shared" si="196"/>
        <v>95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374350</v>
      </c>
      <c r="M444" s="1032">
        <f t="shared" ca="1" si="197"/>
        <v>374350</v>
      </c>
      <c r="N444" s="1032">
        <f t="shared" si="197"/>
        <v>131437.49</v>
      </c>
      <c r="O444" s="1032">
        <f t="shared" ref="O444:O449" ca="1" si="198">IF(L444&gt;0,N444*100/L444,0)</f>
        <v>35.110856150661149</v>
      </c>
      <c r="P444" s="1032">
        <f t="shared" ref="P444:P449" ca="1" si="199">IF(M444&gt;0,N444*100/M444,0)</f>
        <v>35.110856150661149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374350</v>
      </c>
      <c r="M446" s="899">
        <f t="shared" ca="1" si="200"/>
        <v>374350</v>
      </c>
      <c r="N446" s="899">
        <f t="shared" si="200"/>
        <v>131437.49</v>
      </c>
      <c r="O446" s="899">
        <f t="shared" ca="1" si="198"/>
        <v>35.110856150661149</v>
      </c>
      <c r="P446" s="899">
        <f t="shared" ca="1" si="199"/>
        <v>35.110856150661149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374350</v>
      </c>
      <c r="M447" s="893">
        <f t="shared" ca="1" si="201"/>
        <v>374350</v>
      </c>
      <c r="N447" s="893">
        <f t="shared" si="201"/>
        <v>131437.49</v>
      </c>
      <c r="O447" s="893">
        <f t="shared" ca="1" si="198"/>
        <v>35.110856150661149</v>
      </c>
      <c r="P447" s="893">
        <f t="shared" ca="1" si="199"/>
        <v>35.110856150661149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IFERROR(__xludf.DUMMYFUNCTION("IMPORTRANGE(""https://docs.google.com/spreadsheets/d/1QqKyyYR6Q21VydFLVH3TRQUabQu_ym0Zz7PgGX0-kHA/edit?usp=sharing"",""แผน!FJ33"")"),374350)</f>
        <v>374350</v>
      </c>
      <c r="M449" s="899">
        <f ca="1">L449</f>
        <v>374350</v>
      </c>
      <c r="N449" s="899">
        <f>N450+N451+N452+N453</f>
        <v>131437.49</v>
      </c>
      <c r="O449" s="899">
        <f t="shared" ca="1" si="198"/>
        <v>35.110856150661149</v>
      </c>
      <c r="P449" s="899">
        <f t="shared" ca="1" si="199"/>
        <v>35.110856150661149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30450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61437.49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39550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IFERROR(__xludf.DUMMYFUNCTION("IMPORTRANGE(""https://docs.google.com/spreadsheets/d/1QqKyyYR6Q21VydFLVH3TRQUabQu_ym0Zz7PgGX0-kHA/edit?usp=sharing"",""แผน!FM33"")"),0)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IFERROR(__xludf.DUMMYFUNCTION("IMPORTRANGE(""https://docs.google.com/spreadsheets/d/1QqKyyYR6Q21VydFLVH3TRQUabQu_ym0Zz7PgGX0-kHA/edit?usp=sharing"",""แผน!FN33"")"),55)</f>
        <v>55</v>
      </c>
      <c r="J460" s="1024">
        <v>55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IFERROR(__xludf.DUMMYFUNCTION("IMPORTRANGE(""https://docs.google.com/spreadsheets/d/1QqKyyYR6Q21VydFLVH3TRQUabQu_ym0Zz7PgGX0-kHA/edit?usp=sharing"",""แผน!FO33"")"),95)</f>
        <v>95</v>
      </c>
      <c r="J462" s="1024">
        <v>95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IFERROR(__xludf.DUMMYFUNCTION("IMPORTRANGE(""https://docs.google.com/spreadsheets/d/1QqKyyYR6Q21VydFLVH3TRQUabQu_ym0Zz7PgGX0-kHA/edit?usp=sharing"",""แผน!FO33"")"),95)</f>
        <v>95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IFERROR(__xludf.DUMMYFUNCTION("IMPORTRANGE(""https://docs.google.com/spreadsheets/d/1QqKyyYR6Q21VydFLVH3TRQUabQu_ym0Zz7PgGX0-kHA/edit?usp=sharing"",""แผน!FN33"")"),55)</f>
        <v>55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IFERROR(__xludf.DUMMYFUNCTION("IMPORTRANGE(""https://docs.google.com/spreadsheets/d/1QqKyyYR6Q21VydFLVH3TRQUabQu_ym0Zz7PgGX0-kHA/edit?usp=sharing"",""แผน!FX33"")"),61)</f>
        <v>61</v>
      </c>
      <c r="J465" s="1322">
        <f>J485+J489+J492</f>
        <v>61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IFERROR(__xludf.DUMMYFUNCTION("IMPORTRANGE(""https://docs.google.com/spreadsheets/d/1QqKyyYR6Q21VydFLVH3TRQUabQu_ym0Zz7PgGX0-kHA/edit?usp=sharing"",""แผน!FW33"")"),600)</f>
        <v>600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489753</v>
      </c>
      <c r="M467" s="1032">
        <f t="shared" ca="1" si="206"/>
        <v>489753</v>
      </c>
      <c r="N467" s="1032">
        <f t="shared" si="206"/>
        <v>83260</v>
      </c>
      <c r="O467" s="1032">
        <f t="shared" ref="O467:O472" ca="1" si="207">IF(L467&gt;0,N467*100/L467,0)</f>
        <v>17.000406327271094</v>
      </c>
      <c r="P467" s="1032">
        <f t="shared" ref="P467:P472" ca="1" si="208">IF(M467&gt;0,N467*100/M467,0)</f>
        <v>17.000406327271094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489753</v>
      </c>
      <c r="M469" s="899">
        <f t="shared" ca="1" si="209"/>
        <v>489753</v>
      </c>
      <c r="N469" s="899">
        <f t="shared" si="209"/>
        <v>83260</v>
      </c>
      <c r="O469" s="899">
        <f t="shared" ca="1" si="207"/>
        <v>17.000406327271094</v>
      </c>
      <c r="P469" s="899">
        <f t="shared" ca="1" si="208"/>
        <v>17.000406327271094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489753</v>
      </c>
      <c r="M470" s="893">
        <f t="shared" ca="1" si="210"/>
        <v>489753</v>
      </c>
      <c r="N470" s="893">
        <f t="shared" si="210"/>
        <v>83260</v>
      </c>
      <c r="O470" s="893">
        <f t="shared" ca="1" si="207"/>
        <v>17.000406327271094</v>
      </c>
      <c r="P470" s="893">
        <f t="shared" ca="1" si="208"/>
        <v>17.000406327271094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IFERROR(__xludf.DUMMYFUNCTION("IMPORTRANGE(""https://docs.google.com/spreadsheets/d/1QqKyyYR6Q21VydFLVH3TRQUabQu_ym0Zz7PgGX0-kHA/edit?usp=sharing"",""แผน!FS33"")"),489753)</f>
        <v>489753</v>
      </c>
      <c r="M472" s="899">
        <f ca="1">L472</f>
        <v>489753</v>
      </c>
      <c r="N472" s="899">
        <f>N473+N474+N475+N476</f>
        <v>83260</v>
      </c>
      <c r="O472" s="899">
        <f t="shared" ca="1" si="207"/>
        <v>17.000406327271094</v>
      </c>
      <c r="P472" s="899">
        <f t="shared" ca="1" si="208"/>
        <v>17.000406327271094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64180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19080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IFERROR(__xludf.DUMMYFUNCTION("IMPORTRANGE(""https://docs.google.com/spreadsheets/d/1QqKyyYR6Q21VydFLVH3TRQUabQu_ym0Zz7PgGX0-kHA/edit?usp=sharing"",""แผน!FV33"")"),0)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IFERROR(__xludf.DUMMYFUNCTION("IMPORTRANGE(""https://docs.google.com/spreadsheets/d/1QqKyyYR6Q21VydFLVH3TRQUabQu_ym0Zz7PgGX0-kHA/edit?usp=sharing"",""แผน!FY33"")"),540)</f>
        <v>540</v>
      </c>
      <c r="J483" s="1024">
        <v>540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IFERROR(__xludf.DUMMYFUNCTION("IMPORTRANGE(""https://docs.google.com/spreadsheets/d/1QqKyyYR6Q21VydFLVH3TRQUabQu_ym0Zz7PgGX0-kHA/edit?usp=sharing"",""แผน!FZ33"")"),54)</f>
        <v>54</v>
      </c>
      <c r="J485" s="1024">
        <v>54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IFERROR(__xludf.DUMMYFUNCTION("IMPORTRANGE(""https://docs.google.com/spreadsheets/d/1QqKyyYR6Q21VydFLVH3TRQUabQu_ym0Zz7PgGX0-kHA/edit?usp=sharing"",""แผน!GA33"")"),60)</f>
        <v>60</v>
      </c>
      <c r="J487" s="1024">
        <v>60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IFERROR(__xludf.DUMMYFUNCTION("IMPORTRANGE(""https://docs.google.com/spreadsheets/d/1QqKyyYR6Q21VydFLVH3TRQUabQu_ym0Zz7PgGX0-kHA/edit?usp=sharing"",""แผน!GB33"")"),6)</f>
        <v>6</v>
      </c>
      <c r="J489" s="1024">
        <v>6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IFERROR(__xludf.DUMMYFUNCTION("IMPORTRANGE(""https://docs.google.com/spreadsheets/d/1QqKyyYR6Q21VydFLVH3TRQUabQu_ym0Zz7PgGX0-kHA/edit?usp=sharing"",""แผน!GC33"")"),1)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IFERROR(__xludf.DUMMYFUNCTION("IMPORTRANGE(""https://docs.google.com/spreadsheets/d/1QqKyyYR6Q21VydFLVH3TRQUabQu_ym0Zz7PgGX0-kHA/edit?usp=sharing"",""แผน!FY33"")"),540)</f>
        <v>540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IFERROR(__xludf.DUMMYFUNCTION("IMPORTRANGE(""https://docs.google.com/spreadsheets/d/1QqKyyYR6Q21VydFLVH3TRQUabQu_ym0Zz7PgGX0-kHA/edit?usp=sharing"",""แผน!GA33"")"),60)</f>
        <v>60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IFERROR(__xludf.DUMMYFUNCTION("IMPORTRANGE(""https://docs.google.com/spreadsheets/d/1QqKyyYR6Q21VydFLVH3TRQUabQu_ym0Zz7PgGX0-kHA/edit?usp=sharing"",""แผน!GQ33"")"),0)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IFERROR(__xludf.DUMMYFUNCTION("IMPORTRANGE(""https://docs.google.com/spreadsheets/d/1QqKyyYR6Q21VydFLVH3TRQUabQu_ym0Zz7PgGX0-kHA/edit?usp=sharing"",""แผน!GT33"")"),0)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IFERROR(__xludf.DUMMYFUNCTION("IMPORTRANGE(""https://docs.google.com/spreadsheets/d/1QqKyyYR6Q21VydFLVH3TRQUabQu_ym0Zz7PgGX0-kHA/edit?usp=sharing"",""แผน!GU33"")"),0)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IFERROR(__xludf.DUMMYFUNCTION("IMPORTRANGE(""https://docs.google.com/spreadsheets/d/1QqKyyYR6Q21VydFLVH3TRQUabQu_ym0Zz7PgGX0-kHA/edit?usp=sharing"",""แผน!GV33"")"),0)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IFERROR(__xludf.DUMMYFUNCTION("IMPORTRANGE(""https://docs.google.com/spreadsheets/d/1QqKyyYR6Q21VydFLVH3TRQUabQu_ym0Zz7PgGX0-kHA/edit?usp=sharing"",""แผน!GW33"")"),0)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IFERROR(__xludf.DUMMYFUNCTION("IMPORTRANGE(""https://docs.google.com/spreadsheets/d/1QqKyyYR6Q21VydFLVH3TRQUabQu_ym0Zz7PgGX0-kHA/edit?usp=sharing"",""แผน!GX33"")"),0)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IFERROR(__xludf.DUMMYFUNCTION("IMPORTRANGE(""https://docs.google.com/spreadsheets/d/1QqKyyYR6Q21VydFLVH3TRQUabQu_ym0Zz7PgGX0-kHA/edit?usp=sharing"",""แผน!GY33"")"),0)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IFERROR(__xludf.DUMMYFUNCTION("IMPORTRANGE(""https://docs.google.com/spreadsheets/d/1QqKyyYR6Q21VydFLVH3TRQUabQu_ym0Zz7PgGX0-kHA/edit?usp=sharing"",""แผน!GZ33"")"),0)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73574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477343</v>
      </c>
      <c r="M544" s="1004">
        <f t="shared" ca="1" si="236"/>
        <v>477343</v>
      </c>
      <c r="N544" s="1004">
        <f t="shared" si="236"/>
        <v>281015.71000000002</v>
      </c>
      <c r="O544" s="1004">
        <f t="shared" ref="O544:O549" ca="1" si="237">IF(L544&gt;0,N544*100/L544,0)</f>
        <v>58.870814068709507</v>
      </c>
      <c r="P544" s="1004">
        <f t="shared" ref="P544:P549" ca="1" si="238">IF(M544&gt;0,N544*100/M544,0)</f>
        <v>58.870814068709507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477343</v>
      </c>
      <c r="M546" s="899">
        <f t="shared" ca="1" si="240"/>
        <v>477343</v>
      </c>
      <c r="N546" s="899">
        <f t="shared" si="240"/>
        <v>281015.71000000002</v>
      </c>
      <c r="O546" s="899">
        <f t="shared" ca="1" si="237"/>
        <v>58.870814068709507</v>
      </c>
      <c r="P546" s="899">
        <f t="shared" ca="1" si="238"/>
        <v>58.870814068709507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477343</v>
      </c>
      <c r="M547" s="893">
        <f t="shared" ca="1" si="241"/>
        <v>477343</v>
      </c>
      <c r="N547" s="893">
        <f t="shared" si="241"/>
        <v>281015.71000000002</v>
      </c>
      <c r="O547" s="893">
        <f t="shared" ca="1" si="237"/>
        <v>58.870814068709507</v>
      </c>
      <c r="P547" s="893">
        <f t="shared" ca="1" si="238"/>
        <v>58.870814068709507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IFERROR(__xludf.DUMMYFUNCTION("IMPORTRANGE(""https://docs.google.com/spreadsheets/d/1QqKyyYR6Q21VydFLVH3TRQUabQu_ym0Zz7PgGX0-kHA/edit?usp=sharing"",""แผน!HB33"")"),477343)</f>
        <v>477343</v>
      </c>
      <c r="M549" s="899">
        <f ca="1">L549</f>
        <v>477343</v>
      </c>
      <c r="N549" s="899">
        <f>N550+N551+N552+N553+N554</f>
        <v>281015.71000000002</v>
      </c>
      <c r="O549" s="899">
        <f t="shared" ca="1" si="237"/>
        <v>58.870814068709507</v>
      </c>
      <c r="P549" s="899">
        <f t="shared" ca="1" si="238"/>
        <v>58.870814068709507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64535.71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216480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IFERROR(__xludf.DUMMYFUNCTION("IMPORTRANGE(""https://docs.google.com/spreadsheets/d/1QqKyyYR6Q21VydFLVH3TRQUabQu_ym0Zz7PgGX0-kHA/edit?usp=sharing"",""แผน!HF33"")"),0)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73574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IFERROR(__xludf.DUMMYFUNCTION("IMPORTRANGE(""https://docs.google.com/spreadsheets/d/1QqKyyYR6Q21VydFLVH3TRQUabQu_ym0Zz7PgGX0-kHA/edit?usp=sharing"",""แผน!HH33"")"),73574)</f>
        <v>73574</v>
      </c>
      <c r="J560" s="1030">
        <f t="shared" ref="J560:J561" si="247">J562+J564+J566</f>
        <v>73574.36</v>
      </c>
      <c r="K560" s="1174">
        <f t="shared" ca="1" si="246"/>
        <v>100.00048930328649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IFERROR(__xludf.DUMMYFUNCTION("IMPORTRANGE(""https://docs.google.com/spreadsheets/d/1QqKyyYR6Q21VydFLVH3TRQUabQu_ym0Zz7PgGX0-kHA/edit?usp=sharing"",""แผน!HG33"")"),7333)</f>
        <v>7333</v>
      </c>
      <c r="J561" s="1030">
        <f t="shared" si="247"/>
        <v>7333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62059.56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6309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7370.39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664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4144.41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360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IFERROR(__xludf.DUMMYFUNCTION("IMPORTRANGE(""https://docs.google.com/spreadsheets/d/1QqKyyYR6Q21VydFLVH3TRQUabQu_ym0Zz7PgGX0-kHA/edit?usp=sharing"",""แผน!HH33"")"),73574)</f>
        <v>73574</v>
      </c>
      <c r="J568" s="1031">
        <f t="shared" ref="J568:J569" si="248">J570+J572+J574</f>
        <v>73574.399999999994</v>
      </c>
      <c r="K568" s="1174">
        <f t="shared" ref="K568:K569" ca="1" si="249">IF(I568&gt;0,J568*100/I568,0)</f>
        <v>100.00054367031831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IFERROR(__xludf.DUMMYFUNCTION("IMPORTRANGE(""https://docs.google.com/spreadsheets/d/1QqKyyYR6Q21VydFLVH3TRQUabQu_ym0Zz7PgGX0-kHA/edit?usp=sharing"",""แผน!HG33"")"),7333)</f>
        <v>7333</v>
      </c>
      <c r="J569" s="1031">
        <f t="shared" si="248"/>
        <v>7333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66803.48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6726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2327.4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219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4443.5200000000004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388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IFERROR(__xludf.DUMMYFUNCTION("IMPORTRANGE(""https://docs.google.com/spreadsheets/d/1QqKyyYR6Q21VydFLVH3TRQUabQu_ym0Zz7PgGX0-kHA/edit?usp=sharing"",""แผน!HH33"")"),73574)</f>
        <v>73574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IFERROR(__xludf.DUMMYFUNCTION("IMPORTRANGE(""https://docs.google.com/spreadsheets/d/1QqKyyYR6Q21VydFLVH3TRQUabQu_ym0Zz7PgGX0-kHA/edit?usp=sharing"",""แผน!HG33"")"),7333)</f>
        <v>7333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1346.1</v>
      </c>
      <c r="J592" s="1389">
        <f t="shared" si="253"/>
        <v>359</v>
      </c>
      <c r="K592" s="1390">
        <f t="shared" ref="K592:K594" ca="1" si="254">IF(I592&gt;0,J592*100/I592,0)</f>
        <v>26.669638214099994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IFERROR(__xludf.DUMMYFUNCTION("IMPORTRANGE(""https://docs.google.com/spreadsheets/d/1QqKyyYR6Q21VydFLVH3TRQUabQu_ym0Zz7PgGX0-kHA/edit?usp=sharing"",""แผน!HJ33"")"),1346.1)</f>
        <v>1346.1</v>
      </c>
      <c r="J593" s="1030">
        <f t="shared" ref="J593:J594" si="255">J595+J603+J609</f>
        <v>359</v>
      </c>
      <c r="K593" s="1174">
        <f t="shared" ca="1" si="254"/>
        <v>26.669638214099994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IFERROR(__xludf.DUMMYFUNCTION("IMPORTRANGE(""https://docs.google.com/spreadsheets/d/1QqKyyYR6Q21VydFLVH3TRQUabQu_ym0Zz7PgGX0-kHA/edit?usp=sharing"",""แผน!HI33"")"),146)</f>
        <v>146</v>
      </c>
      <c r="J594" s="1030">
        <f t="shared" si="255"/>
        <v>42</v>
      </c>
      <c r="K594" s="1174">
        <f t="shared" ca="1" si="254"/>
        <v>28.767123287671232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359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42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359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42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IFERROR(__xludf.DUMMYFUNCTION("IMPORTRANGE(""https://docs.google.com/spreadsheets/d/1QqKyyYR6Q21VydFLVH3TRQUabQu_ym0Zz7PgGX0-kHA/edit?usp=sharing"",""แผน!HL33"")"),71)</f>
        <v>71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IFERROR(__xludf.DUMMYFUNCTION("IMPORTRANGE(""https://docs.google.com/spreadsheets/d/1QqKyyYR6Q21VydFLVH3TRQUabQu_ym0Zz7PgGX0-kHA/edit?usp=sharing"",""แผน!HK33"")"),3)</f>
        <v>3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50</v>
      </c>
      <c r="J628" s="1438">
        <f t="shared" ca="1" si="262"/>
        <v>0</v>
      </c>
      <c r="K628" s="1439">
        <f ca="1">IF(I628&gt;0,J628*100/I628,0)</f>
        <v>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237485</v>
      </c>
      <c r="M629" s="1032">
        <f t="shared" ca="1" si="263"/>
        <v>237485</v>
      </c>
      <c r="N629" s="1032">
        <f t="shared" si="263"/>
        <v>1921</v>
      </c>
      <c r="O629" s="1032">
        <f t="shared" ref="O629:O634" ca="1" si="264">IF(L629&gt;0,N629*100/L629,0)</f>
        <v>0.80889319325431075</v>
      </c>
      <c r="P629" s="1032">
        <f t="shared" ref="P629:P634" ca="1" si="265">IF(M629&gt;0,N629*100/M629,0)</f>
        <v>0.80889319325431075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237485</v>
      </c>
      <c r="M631" s="899">
        <f t="shared" ca="1" si="266"/>
        <v>237485</v>
      </c>
      <c r="N631" s="899">
        <f t="shared" si="266"/>
        <v>1921</v>
      </c>
      <c r="O631" s="899">
        <f t="shared" ca="1" si="264"/>
        <v>0.80889319325431075</v>
      </c>
      <c r="P631" s="899">
        <f t="shared" ca="1" si="265"/>
        <v>0.80889319325431075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237485</v>
      </c>
      <c r="M632" s="893">
        <f t="shared" ca="1" si="267"/>
        <v>237485</v>
      </c>
      <c r="N632" s="893">
        <f t="shared" si="267"/>
        <v>1921</v>
      </c>
      <c r="O632" s="893">
        <f t="shared" ca="1" si="264"/>
        <v>0.80889319325431075</v>
      </c>
      <c r="P632" s="893">
        <f t="shared" ca="1" si="265"/>
        <v>0.80889319325431075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IFERROR(__xludf.DUMMYFUNCTION("IMPORTRANGE(""https://docs.google.com/spreadsheets/d/1QqKyyYR6Q21VydFLVH3TRQUabQu_ym0Zz7PgGX0-kHA/edit?usp=sharing"",""แผน!HN33"")"),237485)</f>
        <v>237485</v>
      </c>
      <c r="M634" s="899">
        <f ca="1">L634</f>
        <v>237485</v>
      </c>
      <c r="N634" s="899">
        <f>N635+N636+N637+N638</f>
        <v>1921</v>
      </c>
      <c r="O634" s="899">
        <f t="shared" ca="1" si="264"/>
        <v>0.80889319325431075</v>
      </c>
      <c r="P634" s="899">
        <f t="shared" ca="1" si="265"/>
        <v>0.80889319325431075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1921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IFERROR(__xludf.DUMMYFUNCTION("IMPORTRANGE(""https://docs.google.com/spreadsheets/d/1QqKyyYR6Q21VydFLVH3TRQUabQu_ym0Zz7PgGX0-kHA/edit?usp=sharing"",""แผน!HQ33"")"),0)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IFERROR(__xludf.DUMMYFUNCTION("IMPORTRANGE(""https://docs.google.com/spreadsheets/d/1QqKyyYR6Q21VydFLVH3TRQUabQu_ym0Zz7PgGX0-kHA/edit?usp=sharing"",""แผน!HR33"")"),0)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IFERROR(__xludf.DUMMYFUNCTION("IMPORTRANGE(""https://docs.google.com/spreadsheets/d/1QqKyyYR6Q21VydFLVH3TRQUabQu_ym0Zz7PgGX0-kHA/edit?usp=sharing"",""แผน!HR33"")"),0)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IFERROR(__xludf.DUMMYFUNCTION("IMPORTRANGE(""https://docs.google.com/spreadsheets/d/1XWAQStnk-4SwqDmLtmXYiTMKHgktTP8We1SCoS47DrQ/edit?usp=sharing"",""จัดที่ดิน!AS33"")"),0)</f>
        <v>0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IFERROR(__xludf.DUMMYFUNCTION("IMPORTRANGE(""https://docs.google.com/spreadsheets/d/1XWAQStnk-4SwqDmLtmXYiTMKHgktTP8We1SCoS47DrQ/edit?usp=sharing"",""จัดที่ดิน!AT33"")"),0)</f>
        <v>0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IFERROR(__xludf.DUMMYFUNCTION("IMPORTRANGE(""https://docs.google.com/spreadsheets/d/1QqKyyYR6Q21VydFLVH3TRQUabQu_ym0Zz7PgGX0-kHA/edit?usp=sharing"",""แผน!HS33"")"),50)</f>
        <v>50</v>
      </c>
      <c r="J647" s="892">
        <f ca="1">IFERROR(__xludf.DUMMYFUNCTION("IMPORTRANGE(""https://docs.google.com/spreadsheets/d/1XWAQStnk-4SwqDmLtmXYiTMKHgktTP8We1SCoS47DrQ/edit?usp=sharing"",""จัดที่ดิน!AU33"")"),0)</f>
        <v>0</v>
      </c>
      <c r="K647" s="1010">
        <f t="shared" ca="1" si="271"/>
        <v>0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IFERROR(__xludf.DUMMYFUNCTION("IMPORTRANGE(""https://docs.google.com/spreadsheets/d/1XWAQStnk-4SwqDmLtmXYiTMKHgktTP8We1SCoS47DrQ/edit?usp=sharing"",""จัดที่ดิน!AV33"")"),0)</f>
        <v>0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IFERROR(__xludf.DUMMYFUNCTION("IMPORTRANGE(""https://docs.google.com/spreadsheets/d/1QqKyyYR6Q21VydFLVH3TRQUabQu_ym0Zz7PgGX0-kHA/edit?usp=sharing"",""แผน!HS33"")"),50)</f>
        <v>50</v>
      </c>
      <c r="J649" s="892">
        <f ca="1">IFERROR(__xludf.DUMMYFUNCTION("IMPORTRANGE(""https://docs.google.com/spreadsheets/d/1XWAQStnk-4SwqDmLtmXYiTMKHgktTP8We1SCoS47DrQ/edit?usp=sharing"",""จัดที่ดิน!AW33"")"),0)</f>
        <v>0</v>
      </c>
      <c r="K649" s="1010">
        <f t="shared" ca="1" si="271"/>
        <v>0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IFERROR(__xludf.DUMMYFUNCTION("IMPORTRANGE(""https://docs.google.com/spreadsheets/d/1XWAQStnk-4SwqDmLtmXYiTMKHgktTP8We1SCoS47DrQ/edit?usp=sharing"",""จัดที่ดิน!AX33"")"),0)</f>
        <v>0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IFERROR(__xludf.DUMMYFUNCTION("IMPORTRANGE(""https://docs.google.com/spreadsheets/d/1QqKyyYR6Q21VydFLVH3TRQUabQu_ym0Zz7PgGX0-kHA/edit?usp=sharing"",""แผน!HS33"")"),50)</f>
        <v>50</v>
      </c>
      <c r="J651" s="892">
        <f ca="1">IFERROR(__xludf.DUMMYFUNCTION("IMPORTRANGE(""https://docs.google.com/spreadsheets/d/1XWAQStnk-4SwqDmLtmXYiTMKHgktTP8We1SCoS47DrQ/edit?usp=sharing"",""จัดที่ดิน!AY33"")"),0)</f>
        <v>0</v>
      </c>
      <c r="K651" s="1010">
        <f t="shared" ca="1" si="271"/>
        <v>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IFERROR(__xludf.DUMMYFUNCTION("IMPORTRANGE(""https://docs.google.com/spreadsheets/d/1XWAQStnk-4SwqDmLtmXYiTMKHgktTP8We1SCoS47DrQ/edit?usp=sharing"",""จัดที่ดิน!AZ33"")"),0)</f>
        <v>0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IFERROR(__xludf.DUMMYFUNCTION("IMPORTRANGE(""https://docs.google.com/spreadsheets/d/1QqKyyYR6Q21VydFLVH3TRQUabQu_ym0Zz7PgGX0-kHA/edit?usp=sharing"",""แผน!HV33"")"),0)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IFERROR(__xludf.DUMMYFUNCTION("IMPORTRANGE(""https://docs.google.com/spreadsheets/d/1QqKyyYR6Q21VydFLVH3TRQUabQu_ym0Zz7PgGX0-kHA/edit?usp=sharing"",""แผน!IA33"")"),0)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IFERROR(__xludf.DUMMYFUNCTION("IMPORTRANGE(""https://docs.google.com/spreadsheets/d/1QqKyyYR6Q21VydFLVH3TRQUabQu_ym0Zz7PgGX0-kHA/edit?usp=sharing"",""แผน!HZ33"")"),0)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IFERROR(__xludf.DUMMYFUNCTION("IMPORTRANGE(""https://docs.google.com/spreadsheets/d/1QqKyyYR6Q21VydFLVH3TRQUabQu_ym0Zz7PgGX0-kHA/edit?usp=sharing"",""แผน!HZ33"")"),0)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IFERROR(__xludf.DUMMYFUNCTION("IMPORTRANGE(""https://docs.google.com/spreadsheets/d/1QqKyyYR6Q21VydFLVH3TRQUabQu_ym0Zz7PgGX0-kHA/edit?usp=sharing"",""แผน!IB33"")"),0)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1920</v>
      </c>
      <c r="M685" s="1032">
        <f t="shared" ca="1" si="282"/>
        <v>1920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1920</v>
      </c>
      <c r="M687" s="899">
        <f t="shared" ca="1" si="285"/>
        <v>1920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1920</v>
      </c>
      <c r="M688" s="893">
        <f t="shared" ca="1" si="286"/>
        <v>1920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IFERROR(__xludf.DUMMYFUNCTION("IMPORTRANGE(""https://docs.google.com/spreadsheets/d/1QqKyyYR6Q21VydFLVH3TRQUabQu_ym0Zz7PgGX0-kHA/edit?usp=sharing"",""แผน!HW33"")"),1920)</f>
        <v>1920</v>
      </c>
      <c r="M690" s="899">
        <f ca="1">L690</f>
        <v>1920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IFERROR(__xludf.DUMMYFUNCTION("IMPORTRANGE(""https://docs.google.com/spreadsheets/d/1QqKyyYR6Q21VydFLVH3TRQUabQu_ym0Zz7PgGX0-kHA/edit?usp=sharing"",""แผน!IC33"")"),0)</f>
        <v>0</v>
      </c>
      <c r="J699" s="892">
        <f ca="1">IFERROR(__xludf.DUMMYFUNCTION("IMPORTRANGE(""https://docs.google.com/spreadsheets/d/1XWAQStnk-4SwqDmLtmXYiTMKHgktTP8We1SCoS47DrQ/edit?usp=sharing"",""จัดที่ดิน!BB33"")"),0)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IFERROR(__xludf.DUMMYFUNCTION("IMPORTRANGE(""https://docs.google.com/spreadsheets/d/1QqKyyYR6Q21VydFLVH3TRQUabQu_ym0Zz7PgGX0-kHA/edit?usp=sharing"",""แผน!ID33"")"),0)</f>
        <v>0</v>
      </c>
      <c r="J700" s="892">
        <f ca="1">IFERROR(__xludf.DUMMYFUNCTION("IMPORTRANGE(""https://docs.google.com/spreadsheets/d/1XWAQStnk-4SwqDmLtmXYiTMKHgktTP8We1SCoS47DrQ/edit?usp=sharing"",""จัดที่ดิน!BD33"")"),0)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IFERROR(__xludf.DUMMYFUNCTION("IMPORTRANGE(""https://docs.google.com/spreadsheets/d/1QqKyyYR6Q21VydFLVH3TRQUabQu_ym0Zz7PgGX0-kHA/edit?usp=sharing"",""แผน!IE33"")"),10)</f>
        <v>10</v>
      </c>
      <c r="J701" s="1031">
        <f>J704+J707</f>
        <v>10</v>
      </c>
      <c r="K701" s="1032">
        <f t="shared" ca="1" si="290"/>
        <v>100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1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2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IFERROR(__xludf.DUMMYFUNCTION("IMPORTRANGE(""https://docs.google.com/spreadsheets/d/1QqKyyYR6Q21VydFLVH3TRQUabQu_ym0Zz7PgGX0-kHA/edit?usp=sharing"",""แผน!IF33"")"),10)</f>
        <v>10</v>
      </c>
      <c r="J704" s="1024">
        <v>10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IFERROR(__xludf.DUMMYFUNCTION("IMPORTRANGE(""https://docs.google.com/spreadsheets/d/1QqKyyYR6Q21VydFLVH3TRQUabQu_ym0Zz7PgGX0-kHA/edit?usp=sharing"",""แผน!IG33"")"),0)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IFERROR(__xludf.DUMMYFUNCTION("IMPORTRANGE(""https://docs.google.com/spreadsheets/d/1QqKyyYR6Q21VydFLVH3TRQUabQu_ym0Zz7PgGX0-kHA/edit?usp=sharing"",""แผน!IH33"")"),0)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IFERROR(__xludf.DUMMYFUNCTION("IMPORTRANGE(""https://docs.google.com/spreadsheets/d/1XWAQStnk-4SwqDmLtmXYiTMKHgktTP8We1SCoS47DrQ/edit?usp=sharing"",""จัดที่ดิน!BF33"")"),0)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IFERROR(__xludf.DUMMYFUNCTION("IMPORTRANGE(""https://docs.google.com/spreadsheets/d/1XWAQStnk-4SwqDmLtmXYiTMKHgktTP8We1SCoS47DrQ/edit?usp=sharing"",""จัดที่ดิน!BG33"")"),0)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IFERROR(__xludf.DUMMYFUNCTION("IMPORTRANGE(""https://docs.google.com/spreadsheets/d/1QqKyyYR6Q21VydFLVH3TRQUabQu_ym0Zz7PgGX0-kHA/edit?usp=sharing"",""แผน!II33"")"),0)</f>
        <v>0</v>
      </c>
      <c r="J720" s="892">
        <f ca="1">IFERROR(__xludf.DUMMYFUNCTION("IMPORTRANGE(""https://docs.google.com/spreadsheets/d/1XWAQStnk-4SwqDmLtmXYiTMKHgktTP8We1SCoS47DrQ/edit?usp=sharing"",""จัดที่ดิน!BH33"")"),0)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IFERROR(__xludf.DUMMYFUNCTION("IMPORTRANGE(""https://docs.google.com/spreadsheets/d/1QqKyyYR6Q21VydFLVH3TRQUabQu_ym0Zz7PgGX0-kHA/edit?usp=sharing"",""แผน!IJ33"")"),6)</f>
        <v>6</v>
      </c>
      <c r="J721" s="1031">
        <f ca="1">J723+J726</f>
        <v>1</v>
      </c>
      <c r="K721" s="1032">
        <f t="shared" ca="1" si="291"/>
        <v>16.666666666666668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IFERROR(__xludf.DUMMYFUNCTION("IMPORTRANGE(""https://docs.google.com/spreadsheets/d/1QqKyyYR6Q21VydFLVH3TRQUabQu_ym0Zz7PgGX0-kHA/edit?usp=sharing"",""แผน!IK33"")"),62)</f>
        <v>62</v>
      </c>
      <c r="J722" s="1031">
        <f ca="1">J725+J728</f>
        <v>10</v>
      </c>
      <c r="K722" s="1032">
        <f t="shared" ca="1" si="291"/>
        <v>16.129032258064516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IFERROR(__xludf.DUMMYFUNCTION("IMPORTRANGE(""https://docs.google.com/spreadsheets/d/1QqKyyYR6Q21VydFLVH3TRQUabQu_ym0Zz7PgGX0-kHA/edit?usp=sharing"",""แผน!IL33"")"),6)</f>
        <v>6</v>
      </c>
      <c r="J723" s="892">
        <f ca="1">IFERROR(__xludf.DUMMYFUNCTION("IMPORTRANGE(""https://docs.google.com/spreadsheets/d/1XWAQStnk-4SwqDmLtmXYiTMKHgktTP8We1SCoS47DrQ/edit?usp=sharing"",""จัดที่ดิน!BM33"")"),1)</f>
        <v>1</v>
      </c>
      <c r="K723" s="893">
        <f t="shared" ca="1" si="291"/>
        <v>16.666666666666668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IFERROR(__xludf.DUMMYFUNCTION("IMPORTRANGE(""https://docs.google.com/spreadsheets/d/1XWAQStnk-4SwqDmLtmXYiTMKHgktTP8We1SCoS47DrQ/edit?usp=sharing"",""จัดที่ดิน!BN33"")"),2)</f>
        <v>2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IFERROR(__xludf.DUMMYFUNCTION("IMPORTRANGE(""https://docs.google.com/spreadsheets/d/1QqKyyYR6Q21VydFLVH3TRQUabQu_ym0Zz7PgGX0-kHA/edit?usp=sharing"",""แผน!IM33"")"),62)</f>
        <v>62</v>
      </c>
      <c r="J725" s="892">
        <f ca="1">IFERROR(__xludf.DUMMYFUNCTION("IMPORTRANGE(""https://docs.google.com/spreadsheets/d/1XWAQStnk-4SwqDmLtmXYiTMKHgktTP8We1SCoS47DrQ/edit?usp=sharing"",""จัดที่ดิน!BO33"")"),10)</f>
        <v>10</v>
      </c>
      <c r="K725" s="893">
        <f t="shared" ref="K725:K726" ca="1" si="292">IF(I725&gt;0,J725*100/I725,0)</f>
        <v>16.129032258064516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IFERROR(__xludf.DUMMYFUNCTION("IMPORTRANGE(""https://docs.google.com/spreadsheets/d/1QqKyyYR6Q21VydFLVH3TRQUabQu_ym0Zz7PgGX0-kHA/edit?usp=sharing"",""แผน!IN33"")"),0)</f>
        <v>0</v>
      </c>
      <c r="J726" s="892">
        <f ca="1">IFERROR(__xludf.DUMMYFUNCTION("IMPORTRANGE(""https://docs.google.com/spreadsheets/d/1XWAQStnk-4SwqDmLtmXYiTMKHgktTP8We1SCoS47DrQ/edit?usp=sharing"",""จัดที่ดิน!BR33"")"),0)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IFERROR(__xludf.DUMMYFUNCTION("IMPORTRANGE(""https://docs.google.com/spreadsheets/d/1XWAQStnk-4SwqDmLtmXYiTMKHgktTP8We1SCoS47DrQ/edit?usp=sharing"",""จัดที่ดิน!BS33"")"),0)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IFERROR(__xludf.DUMMYFUNCTION("IMPORTRANGE(""https://docs.google.com/spreadsheets/d/1QqKyyYR6Q21VydFLVH3TRQUabQu_ym0Zz7PgGX0-kHA/edit?usp=sharing"",""แผน!IO33"")"),0)</f>
        <v>0</v>
      </c>
      <c r="J728" s="892">
        <f ca="1">IFERROR(__xludf.DUMMYFUNCTION("IMPORTRANGE(""https://docs.google.com/spreadsheets/d/1XWAQStnk-4SwqDmLtmXYiTMKHgktTP8We1SCoS47DrQ/edit?usp=sharing"",""จัดที่ดิน!BT33"")"),0)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IFERROR(__xludf.DUMMYFUNCTION("IMPORTRANGE(""https://docs.google.com/spreadsheets/d/1QqKyyYR6Q21VydFLVH3TRQUabQu_ym0Zz7PgGX0-kHA/edit?usp=sharing"",""แผน!IP33"")"),0)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IFERROR(__xludf.DUMMYFUNCTION("IMPORTRANGE(""https://docs.google.com/spreadsheets/d/1QqKyyYR6Q21VydFLVH3TRQUabQu_ym0Zz7PgGX0-kHA/edit?usp=sharing"",""แผน!JJ33"")"),0)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IFERROR(__xludf.DUMMYFUNCTION("IMPORTRANGE(""https://docs.google.com/spreadsheets/d/1QqKyyYR6Q21VydFLVH3TRQUabQu_ym0Zz7PgGX0-kHA/edit?usp=sharing"",""แผน!JN33"")"),0)</f>
        <v>0</v>
      </c>
      <c r="J800" s="1009">
        <f ca="1">IFERROR(__xludf.DUMMYFUNCTION("IMPORTRANGE(""https://docs.google.com/spreadsheets/d/1MaWodYyGHDf7siQLGxnXhG4mBNTNIuy296niS2xXulU/edit?usp=sharing"",""RTK!H33"")"),0)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IFERROR(__xludf.DUMMYFUNCTION("IMPORTRANGE(""https://docs.google.com/spreadsheets/d/1MaWodYyGHDf7siQLGxnXhG4mBNTNIuy296niS2xXulU/edit?usp=sharing"",""RTK!I33"")"),0)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892">
        <f ca="1">IFERROR(__xludf.DUMMYFUNCTION("IMPORTRANGE(""https://docs.google.com/spreadsheets/d/19vJNZY_5yjcGF2XGBMNZRCAIB0Kwfpjp8YEOfu-bneM/edit?usp=sharing"",""งานกองทุน!F33"")"),2070586.26)</f>
        <v>2070586.26</v>
      </c>
      <c r="K821" s="893">
        <f t="shared" ref="K821:K828" ca="1" si="335">IF(I821&gt;0,J821*100/I821,0)</f>
        <v>47.084028409680727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IFERROR(__xludf.DUMMYFUNCTION("IMPORTRANGE(""https://docs.google.com/spreadsheets/d/19vJNZY_5yjcGF2XGBMNZRCAIB0Kwfpjp8YEOfu-bneM/edit?usp=sharing"",""งานกองทุน!C33"")"),275)</f>
        <v>275</v>
      </c>
      <c r="J822" s="892">
        <f ca="1">IFERROR(__xludf.DUMMYFUNCTION("IMPORTRANGE(""https://docs.google.com/spreadsheets/d/19vJNZY_5yjcGF2XGBMNZRCAIB0Kwfpjp8YEOfu-bneM/edit?usp=sharing"",""งานกองทุน!E33"")"),135)</f>
        <v>135</v>
      </c>
      <c r="K822" s="893">
        <f t="shared" ca="1" si="335"/>
        <v>49.090909090909093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892">
        <f ca="1">IFERROR(__xludf.DUMMYFUNCTION("IMPORTRANGE(""https://docs.google.com/spreadsheets/d/19vJNZY_5yjcGF2XGBMNZRCAIB0Kwfpjp8YEOfu-bneM/edit?usp=sharing"",""งานกองทุน!K33"")"),1264690.53)</f>
        <v>1264690.53</v>
      </c>
      <c r="K823" s="893">
        <f t="shared" ca="1" si="335"/>
        <v>9.2353257809807445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IFERROR(__xludf.DUMMYFUNCTION("IMPORTRANGE(""https://docs.google.com/spreadsheets/d/19vJNZY_5yjcGF2XGBMNZRCAIB0Kwfpjp8YEOfu-bneM/edit?usp=sharing"",""งานกองทุน!H33"")"),529)</f>
        <v>529</v>
      </c>
      <c r="J824" s="892">
        <f ca="1">IFERROR(__xludf.DUMMYFUNCTION("IMPORTRANGE(""https://docs.google.com/spreadsheets/d/19vJNZY_5yjcGF2XGBMNZRCAIB0Kwfpjp8YEOfu-bneM/edit?usp=sharing"",""งานกองทุน!J33"")"),141)</f>
        <v>141</v>
      </c>
      <c r="K824" s="893">
        <f t="shared" ca="1" si="335"/>
        <v>26.65406427221172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892">
        <f ca="1">IFERROR(__xludf.DUMMYFUNCTION("IMPORTRANGE(""https://docs.google.com/spreadsheets/d/19vJNZY_5yjcGF2XGBMNZRCAIB0Kwfpjp8YEOfu-bneM/edit?usp=sharing"",""งานกองทุน!P33"")"),184272.17)</f>
        <v>184272.17</v>
      </c>
      <c r="K825" s="893">
        <f t="shared" ca="1" si="335"/>
        <v>45.050165544634858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IFERROR(__xludf.DUMMYFUNCTION("IMPORTRANGE(""https://docs.google.com/spreadsheets/d/19vJNZY_5yjcGF2XGBMNZRCAIB0Kwfpjp8YEOfu-bneM/edit?usp=sharing"",""งานกองทุน!M33"")"),59)</f>
        <v>59</v>
      </c>
      <c r="J826" s="892">
        <f ca="1">IFERROR(__xludf.DUMMYFUNCTION("IMPORTRANGE(""https://docs.google.com/spreadsheets/d/19vJNZY_5yjcGF2XGBMNZRCAIB0Kwfpjp8YEOfu-bneM/edit?usp=sharing"",""งานกองทุน!O33"")"),57)</f>
        <v>57</v>
      </c>
      <c r="K826" s="893">
        <f t="shared" ca="1" si="335"/>
        <v>96.610169491525426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IFERROR(__xludf.DUMMYFUNCTION("IMPORTRANGE(""https://docs.google.com/spreadsheets/d/19vJNZY_5yjcGF2XGBMNZRCAIB0Kwfpjp8YEOfu-bneM/edit?usp=sharing"",""งานกองทุน!S33"")"),5080000)</f>
        <v>5080000</v>
      </c>
      <c r="J827" s="892">
        <f ca="1">IFERROR(__xludf.DUMMYFUNCTION("IMPORTRANGE(""https://docs.google.com/spreadsheets/d/19vJNZY_5yjcGF2XGBMNZRCAIB0Kwfpjp8YEOfu-bneM/edit?usp=sharing"",""งานกองทุน!U33"")"),5080000)</f>
        <v>5080000</v>
      </c>
      <c r="K827" s="893">
        <f t="shared" ca="1" si="335"/>
        <v>100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IFERROR(__xludf.DUMMYFUNCTION("IMPORTRANGE(""https://docs.google.com/spreadsheets/d/19vJNZY_5yjcGF2XGBMNZRCAIB0Kwfpjp8YEOfu-bneM/edit?usp=sharing"",""งานกองทุน!R33"")"),203)</f>
        <v>203</v>
      </c>
      <c r="J828" s="1149">
        <f ca="1">IFERROR(__xludf.DUMMYFUNCTION("IMPORTRANGE(""https://docs.google.com/spreadsheets/d/19vJNZY_5yjcGF2XGBMNZRCAIB0Kwfpjp8YEOfu-bneM/edit?usp=sharing"",""งานกองทุน!T33"")"),113)</f>
        <v>113</v>
      </c>
      <c r="K828" s="1251">
        <f t="shared" ca="1" si="335"/>
        <v>55.665024630541872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  <row r="829" spans="1:26" ht="18.75">
      <c r="A829" s="1393"/>
      <c r="B829" s="1393"/>
      <c r="C829" s="1393"/>
      <c r="D829" s="1506"/>
      <c r="E829" s="1393"/>
      <c r="F829" s="1393"/>
      <c r="G829" s="1393"/>
      <c r="H829" s="1507"/>
      <c r="I829" s="1508"/>
      <c r="J829" s="1508"/>
      <c r="K829" s="1509"/>
      <c r="L829" s="1509"/>
      <c r="M829" s="1509"/>
      <c r="N829" s="1509"/>
      <c r="O829" s="1509"/>
      <c r="P829" s="1509"/>
      <c r="Q829" s="1314"/>
      <c r="R829" s="1314"/>
      <c r="S829" s="1314"/>
      <c r="T829" s="1314"/>
      <c r="U829" s="1314"/>
      <c r="V829" s="1314"/>
      <c r="W829" s="1314"/>
      <c r="X829" s="1314"/>
      <c r="Y829" s="1314"/>
      <c r="Z829" s="1314"/>
    </row>
    <row r="830" spans="1:26" ht="18.75">
      <c r="A830" s="1393"/>
      <c r="B830" s="1393"/>
      <c r="C830" s="1393"/>
      <c r="D830" s="1506"/>
      <c r="E830" s="1393"/>
      <c r="F830" s="1393"/>
      <c r="G830" s="1393"/>
      <c r="H830" s="1507"/>
      <c r="I830" s="1508"/>
      <c r="J830" s="1508"/>
      <c r="K830" s="1509"/>
      <c r="L830" s="1509"/>
      <c r="M830" s="1509"/>
      <c r="N830" s="1509"/>
      <c r="O830" s="1509"/>
      <c r="P830" s="1509"/>
      <c r="Q830" s="1314"/>
      <c r="R830" s="1314"/>
      <c r="S830" s="1314"/>
      <c r="T830" s="1314"/>
      <c r="U830" s="1314"/>
      <c r="V830" s="1314"/>
      <c r="W830" s="1314"/>
      <c r="X830" s="1314"/>
      <c r="Y830" s="1314"/>
      <c r="Z830" s="1314"/>
    </row>
    <row r="831" spans="1:26" ht="18.75">
      <c r="A831" s="1393"/>
      <c r="B831" s="1393"/>
      <c r="C831" s="1393"/>
      <c r="D831" s="1506"/>
      <c r="E831" s="1393"/>
      <c r="F831" s="1393"/>
      <c r="G831" s="1393"/>
      <c r="H831" s="1507"/>
      <c r="I831" s="1508"/>
      <c r="J831" s="1508"/>
      <c r="K831" s="1509"/>
      <c r="L831" s="1509"/>
      <c r="M831" s="1509"/>
      <c r="N831" s="1509"/>
      <c r="O831" s="1509"/>
      <c r="P831" s="1509"/>
      <c r="Q831" s="1314"/>
      <c r="R831" s="1314"/>
      <c r="S831" s="1314"/>
      <c r="T831" s="1314"/>
      <c r="U831" s="1314"/>
      <c r="V831" s="1314"/>
      <c r="W831" s="1314"/>
      <c r="X831" s="1314"/>
      <c r="Y831" s="1314"/>
      <c r="Z831" s="1314"/>
    </row>
    <row r="832" spans="1:26" ht="18.75">
      <c r="A832" s="1393"/>
      <c r="B832" s="1393"/>
      <c r="C832" s="1393"/>
      <c r="D832" s="1506"/>
      <c r="E832" s="1393"/>
      <c r="F832" s="1393"/>
      <c r="G832" s="1393"/>
      <c r="H832" s="1507"/>
      <c r="I832" s="1508"/>
      <c r="J832" s="1508"/>
      <c r="K832" s="1509"/>
      <c r="L832" s="1509"/>
      <c r="M832" s="1509"/>
      <c r="N832" s="1509"/>
      <c r="O832" s="1509"/>
      <c r="P832" s="1509"/>
      <c r="Q832" s="1314"/>
      <c r="R832" s="1314"/>
      <c r="S832" s="1314"/>
      <c r="T832" s="1314"/>
      <c r="U832" s="1314"/>
      <c r="V832" s="1314"/>
      <c r="W832" s="1314"/>
      <c r="X832" s="1314"/>
      <c r="Y832" s="1314"/>
      <c r="Z832" s="1314"/>
    </row>
    <row r="833" spans="1:26" ht="18.75">
      <c r="A833" s="1393"/>
      <c r="B833" s="1393"/>
      <c r="C833" s="1393"/>
      <c r="D833" s="1506"/>
      <c r="E833" s="1393"/>
      <c r="F833" s="1393"/>
      <c r="G833" s="1393"/>
      <c r="H833" s="1507"/>
      <c r="I833" s="1508"/>
      <c r="J833" s="1508"/>
      <c r="K833" s="1509"/>
      <c r="L833" s="1509"/>
      <c r="M833" s="1509"/>
      <c r="N833" s="1509"/>
      <c r="O833" s="1509"/>
      <c r="P833" s="1509"/>
      <c r="Q833" s="1314"/>
      <c r="R833" s="1314"/>
      <c r="S833" s="1314"/>
      <c r="T833" s="1314"/>
      <c r="U833" s="1314"/>
      <c r="V833" s="1314"/>
      <c r="W833" s="1314"/>
      <c r="X833" s="1314"/>
      <c r="Y833" s="1314"/>
      <c r="Z833" s="1314"/>
    </row>
    <row r="834" spans="1:26" ht="18.75">
      <c r="A834" s="1393"/>
      <c r="B834" s="1393"/>
      <c r="C834" s="1393"/>
      <c r="D834" s="1506"/>
      <c r="E834" s="1393"/>
      <c r="F834" s="1393"/>
      <c r="G834" s="1393"/>
      <c r="H834" s="1507"/>
      <c r="I834" s="1508"/>
      <c r="J834" s="1508"/>
      <c r="K834" s="1509"/>
      <c r="L834" s="1509"/>
      <c r="M834" s="1509"/>
      <c r="N834" s="1509"/>
      <c r="O834" s="1509"/>
      <c r="P834" s="1509"/>
      <c r="Q834" s="1314"/>
      <c r="R834" s="1314"/>
      <c r="S834" s="1314"/>
      <c r="T834" s="1314"/>
      <c r="U834" s="1314"/>
      <c r="V834" s="1314"/>
      <c r="W834" s="1314"/>
      <c r="X834" s="1314"/>
      <c r="Y834" s="1314"/>
      <c r="Z834" s="1314"/>
    </row>
    <row r="835" spans="1:26" ht="18.75">
      <c r="A835" s="1393"/>
      <c r="B835" s="1393"/>
      <c r="C835" s="1393"/>
      <c r="D835" s="1506"/>
      <c r="E835" s="1393"/>
      <c r="F835" s="1393"/>
      <c r="G835" s="1393"/>
      <c r="H835" s="1507"/>
      <c r="I835" s="1508"/>
      <c r="J835" s="1508"/>
      <c r="K835" s="1509"/>
      <c r="L835" s="1509"/>
      <c r="M835" s="1509"/>
      <c r="N835" s="1509"/>
      <c r="O835" s="1509"/>
      <c r="P835" s="1509"/>
      <c r="Q835" s="1314"/>
      <c r="R835" s="1314"/>
      <c r="S835" s="1314"/>
      <c r="T835" s="1314"/>
      <c r="U835" s="1314"/>
      <c r="V835" s="1314"/>
      <c r="W835" s="1314"/>
      <c r="X835" s="1314"/>
      <c r="Y835" s="1314"/>
      <c r="Z835" s="1314"/>
    </row>
    <row r="836" spans="1:26" ht="18.75">
      <c r="A836" s="1393"/>
      <c r="B836" s="1393"/>
      <c r="C836" s="1393"/>
      <c r="D836" s="1506"/>
      <c r="E836" s="1393"/>
      <c r="F836" s="1393"/>
      <c r="G836" s="1393"/>
      <c r="H836" s="1507"/>
      <c r="I836" s="1508"/>
      <c r="J836" s="1508"/>
      <c r="K836" s="1509"/>
      <c r="L836" s="1509"/>
      <c r="M836" s="1509"/>
      <c r="N836" s="1509"/>
      <c r="O836" s="1509"/>
      <c r="P836" s="1509"/>
      <c r="Q836" s="1314"/>
      <c r="R836" s="1314"/>
      <c r="S836" s="1314"/>
      <c r="T836" s="1314"/>
      <c r="U836" s="1314"/>
      <c r="V836" s="1314"/>
      <c r="W836" s="1314"/>
      <c r="X836" s="1314"/>
      <c r="Y836" s="1314"/>
      <c r="Z836" s="1314"/>
    </row>
    <row r="837" spans="1:26" ht="18.75">
      <c r="A837" s="1393"/>
      <c r="B837" s="1393"/>
      <c r="C837" s="1393"/>
      <c r="D837" s="1506"/>
      <c r="E837" s="1393"/>
      <c r="F837" s="1393"/>
      <c r="G837" s="1393"/>
      <c r="H837" s="1507"/>
      <c r="I837" s="1508"/>
      <c r="J837" s="1508"/>
      <c r="K837" s="1509"/>
      <c r="L837" s="1509"/>
      <c r="M837" s="1509"/>
      <c r="N837" s="1509"/>
      <c r="O837" s="1509"/>
      <c r="P837" s="1509"/>
      <c r="Q837" s="1314"/>
      <c r="R837" s="1314"/>
      <c r="S837" s="1314"/>
      <c r="T837" s="1314"/>
      <c r="U837" s="1314"/>
      <c r="V837" s="1314"/>
      <c r="W837" s="1314"/>
      <c r="X837" s="1314"/>
      <c r="Y837" s="1314"/>
      <c r="Z837" s="1314"/>
    </row>
    <row r="838" spans="1:26" ht="18.75">
      <c r="A838" s="1393"/>
      <c r="B838" s="1393"/>
      <c r="C838" s="1393"/>
      <c r="D838" s="1506"/>
      <c r="E838" s="1393"/>
      <c r="F838" s="1393"/>
      <c r="G838" s="1393"/>
      <c r="H838" s="1507"/>
      <c r="I838" s="1508"/>
      <c r="J838" s="1508"/>
      <c r="K838" s="1509"/>
      <c r="L838" s="1509"/>
      <c r="M838" s="1509"/>
      <c r="N838" s="1509"/>
      <c r="O838" s="1509"/>
      <c r="P838" s="1509"/>
      <c r="Q838" s="1314"/>
      <c r="R838" s="1314"/>
      <c r="S838" s="1314"/>
      <c r="T838" s="1314"/>
      <c r="U838" s="1314"/>
      <c r="V838" s="1314"/>
      <c r="W838" s="1314"/>
      <c r="X838" s="1314"/>
      <c r="Y838" s="1314"/>
      <c r="Z838" s="1314"/>
    </row>
    <row r="839" spans="1:26" ht="18.75">
      <c r="A839" s="1393"/>
      <c r="B839" s="1393"/>
      <c r="C839" s="1393"/>
      <c r="D839" s="1506"/>
      <c r="E839" s="1393"/>
      <c r="F839" s="1393"/>
      <c r="G839" s="1393"/>
      <c r="H839" s="1507"/>
      <c r="I839" s="1508"/>
      <c r="J839" s="1508"/>
      <c r="K839" s="1509"/>
      <c r="L839" s="1509"/>
      <c r="M839" s="1509"/>
      <c r="N839" s="1509"/>
      <c r="O839" s="1509"/>
      <c r="P839" s="1509"/>
      <c r="Q839" s="1314"/>
      <c r="R839" s="1314"/>
      <c r="S839" s="1314"/>
      <c r="T839" s="1314"/>
      <c r="U839" s="1314"/>
      <c r="V839" s="1314"/>
      <c r="W839" s="1314"/>
      <c r="X839" s="1314"/>
      <c r="Y839" s="1314"/>
      <c r="Z839" s="1314"/>
    </row>
    <row r="840" spans="1:26" ht="18.75">
      <c r="A840" s="1393"/>
      <c r="B840" s="1393"/>
      <c r="C840" s="1393"/>
      <c r="D840" s="1506"/>
      <c r="E840" s="1393"/>
      <c r="F840" s="1393"/>
      <c r="G840" s="1393"/>
      <c r="H840" s="1507"/>
      <c r="I840" s="1508"/>
      <c r="J840" s="1508"/>
      <c r="K840" s="1509"/>
      <c r="L840" s="1509"/>
      <c r="M840" s="1509"/>
      <c r="N840" s="1509"/>
      <c r="O840" s="1509"/>
      <c r="P840" s="1509"/>
      <c r="Q840" s="1314"/>
      <c r="R840" s="1314"/>
      <c r="S840" s="1314"/>
      <c r="T840" s="1314"/>
      <c r="U840" s="1314"/>
      <c r="V840" s="1314"/>
      <c r="W840" s="1314"/>
      <c r="X840" s="1314"/>
      <c r="Y840" s="1314"/>
      <c r="Z840" s="1314"/>
    </row>
    <row r="841" spans="1:26" ht="18.75">
      <c r="A841" s="1393"/>
      <c r="B841" s="1393"/>
      <c r="C841" s="1393"/>
      <c r="D841" s="1506"/>
      <c r="E841" s="1393"/>
      <c r="F841" s="1393"/>
      <c r="G841" s="1393"/>
      <c r="H841" s="1507"/>
      <c r="I841" s="1508"/>
      <c r="J841" s="1508"/>
      <c r="K841" s="1509"/>
      <c r="L841" s="1509"/>
      <c r="M841" s="1509"/>
      <c r="N841" s="1509"/>
      <c r="O841" s="1509"/>
      <c r="P841" s="1509"/>
      <c r="Q841" s="1314"/>
      <c r="R841" s="1314"/>
      <c r="S841" s="1314"/>
      <c r="T841" s="1314"/>
      <c r="U841" s="1314"/>
      <c r="V841" s="1314"/>
      <c r="W841" s="1314"/>
      <c r="X841" s="1314"/>
      <c r="Y841" s="1314"/>
      <c r="Z841" s="1314"/>
    </row>
    <row r="842" spans="1:26" ht="18.75">
      <c r="A842" s="1393"/>
      <c r="B842" s="1393"/>
      <c r="C842" s="1393"/>
      <c r="D842" s="1506"/>
      <c r="E842" s="1393"/>
      <c r="F842" s="1393"/>
      <c r="G842" s="1393"/>
      <c r="H842" s="1507"/>
      <c r="I842" s="1508"/>
      <c r="J842" s="1508"/>
      <c r="K842" s="1509"/>
      <c r="L842" s="1509"/>
      <c r="M842" s="1509"/>
      <c r="N842" s="1509"/>
      <c r="O842" s="1509"/>
      <c r="P842" s="1509"/>
      <c r="Q842" s="1314"/>
      <c r="R842" s="1314"/>
      <c r="S842" s="1314"/>
      <c r="T842" s="1314"/>
      <c r="U842" s="1314"/>
      <c r="V842" s="1314"/>
      <c r="W842" s="1314"/>
      <c r="X842" s="1314"/>
      <c r="Y842" s="1314"/>
      <c r="Z842" s="1314"/>
    </row>
    <row r="843" spans="1:26" ht="18.75">
      <c r="A843" s="1393"/>
      <c r="B843" s="1393"/>
      <c r="C843" s="1393"/>
      <c r="D843" s="1506"/>
      <c r="E843" s="1393"/>
      <c r="F843" s="1393"/>
      <c r="G843" s="1393"/>
      <c r="H843" s="1507"/>
      <c r="I843" s="1508"/>
      <c r="J843" s="1508"/>
      <c r="K843" s="1509"/>
      <c r="L843" s="1509"/>
      <c r="M843" s="1509"/>
      <c r="N843" s="1509"/>
      <c r="O843" s="1509"/>
      <c r="P843" s="1509"/>
      <c r="Q843" s="1314"/>
      <c r="R843" s="1314"/>
      <c r="S843" s="1314"/>
      <c r="T843" s="1314"/>
      <c r="U843" s="1314"/>
      <c r="V843" s="1314"/>
      <c r="W843" s="1314"/>
      <c r="X843" s="1314"/>
      <c r="Y843" s="1314"/>
      <c r="Z843" s="1314"/>
    </row>
    <row r="844" spans="1:26" ht="18.75">
      <c r="A844" s="1393"/>
      <c r="B844" s="1393"/>
      <c r="C844" s="1393"/>
      <c r="D844" s="1506"/>
      <c r="E844" s="1393"/>
      <c r="F844" s="1393"/>
      <c r="G844" s="1393"/>
      <c r="H844" s="1507"/>
      <c r="I844" s="1508"/>
      <c r="J844" s="1508"/>
      <c r="K844" s="1509"/>
      <c r="L844" s="1509"/>
      <c r="M844" s="1509"/>
      <c r="N844" s="1509"/>
      <c r="O844" s="1509"/>
      <c r="P844" s="1509"/>
      <c r="Q844" s="1314"/>
      <c r="R844" s="1314"/>
      <c r="S844" s="1314"/>
      <c r="T844" s="1314"/>
      <c r="U844" s="1314"/>
      <c r="V844" s="1314"/>
      <c r="W844" s="1314"/>
      <c r="X844" s="1314"/>
      <c r="Y844" s="1314"/>
      <c r="Z844" s="1314"/>
    </row>
    <row r="845" spans="1:26" ht="18.75">
      <c r="A845" s="1393"/>
      <c r="B845" s="1393"/>
      <c r="C845" s="1393"/>
      <c r="D845" s="1506"/>
      <c r="E845" s="1393"/>
      <c r="F845" s="1393"/>
      <c r="G845" s="1393"/>
      <c r="H845" s="1507"/>
      <c r="I845" s="1508"/>
      <c r="J845" s="1508"/>
      <c r="K845" s="1509"/>
      <c r="L845" s="1509"/>
      <c r="M845" s="1509"/>
      <c r="N845" s="1509"/>
      <c r="O845" s="1509"/>
      <c r="P845" s="1509"/>
      <c r="Q845" s="1314"/>
      <c r="R845" s="1314"/>
      <c r="S845" s="1314"/>
      <c r="T845" s="1314"/>
      <c r="U845" s="1314"/>
      <c r="V845" s="1314"/>
      <c r="W845" s="1314"/>
      <c r="X845" s="1314"/>
      <c r="Y845" s="1314"/>
      <c r="Z845" s="1314"/>
    </row>
    <row r="846" spans="1:26" ht="18.75">
      <c r="A846" s="1393"/>
      <c r="B846" s="1393"/>
      <c r="C846" s="1393"/>
      <c r="D846" s="1506"/>
      <c r="E846" s="1393"/>
      <c r="F846" s="1393"/>
      <c r="G846" s="1393"/>
      <c r="H846" s="1507"/>
      <c r="I846" s="1508"/>
      <c r="J846" s="1508"/>
      <c r="K846" s="1509"/>
      <c r="L846" s="1509"/>
      <c r="M846" s="1509"/>
      <c r="N846" s="1509"/>
      <c r="O846" s="1509"/>
      <c r="P846" s="1509"/>
      <c r="Q846" s="1314"/>
      <c r="R846" s="1314"/>
      <c r="S846" s="1314"/>
      <c r="T846" s="1314"/>
      <c r="U846" s="1314"/>
      <c r="V846" s="1314"/>
      <c r="W846" s="1314"/>
      <c r="X846" s="1314"/>
      <c r="Y846" s="1314"/>
      <c r="Z846" s="1314"/>
    </row>
    <row r="847" spans="1:26" ht="18.75">
      <c r="A847" s="1393"/>
      <c r="B847" s="1393"/>
      <c r="C847" s="1393"/>
      <c r="D847" s="1506"/>
      <c r="E847" s="1393"/>
      <c r="F847" s="1393"/>
      <c r="G847" s="1393"/>
      <c r="H847" s="1507"/>
      <c r="I847" s="1508"/>
      <c r="J847" s="1508"/>
      <c r="K847" s="1509"/>
      <c r="L847" s="1509"/>
      <c r="M847" s="1509"/>
      <c r="N847" s="1509"/>
      <c r="O847" s="1509"/>
      <c r="P847" s="1509"/>
      <c r="Q847" s="1314"/>
      <c r="R847" s="1314"/>
      <c r="S847" s="1314"/>
      <c r="T847" s="1314"/>
      <c r="U847" s="1314"/>
      <c r="V847" s="1314"/>
      <c r="W847" s="1314"/>
      <c r="X847" s="1314"/>
      <c r="Y847" s="1314"/>
      <c r="Z847" s="1314"/>
    </row>
    <row r="848" spans="1:26" ht="18.75">
      <c r="A848" s="1393"/>
      <c r="B848" s="1393"/>
      <c r="C848" s="1393"/>
      <c r="D848" s="1506"/>
      <c r="E848" s="1393"/>
      <c r="F848" s="1393"/>
      <c r="G848" s="1393"/>
      <c r="H848" s="1507"/>
      <c r="I848" s="1508"/>
      <c r="J848" s="1508"/>
      <c r="K848" s="1509"/>
      <c r="L848" s="1509"/>
      <c r="M848" s="1509"/>
      <c r="N848" s="1509"/>
      <c r="O848" s="1509"/>
      <c r="P848" s="1509"/>
      <c r="Q848" s="1314"/>
      <c r="R848" s="1314"/>
      <c r="S848" s="1314"/>
      <c r="T848" s="1314"/>
      <c r="U848" s="1314"/>
      <c r="V848" s="1314"/>
      <c r="W848" s="1314"/>
      <c r="X848" s="1314"/>
      <c r="Y848" s="1314"/>
      <c r="Z848" s="1314"/>
    </row>
    <row r="849" spans="1:26" ht="18.75">
      <c r="A849" s="1393"/>
      <c r="B849" s="1393"/>
      <c r="C849" s="1393"/>
      <c r="D849" s="1506"/>
      <c r="E849" s="1393"/>
      <c r="F849" s="1393"/>
      <c r="G849" s="1393"/>
      <c r="H849" s="1507"/>
      <c r="I849" s="1508"/>
      <c r="J849" s="1508"/>
      <c r="K849" s="1509"/>
      <c r="L849" s="1509"/>
      <c r="M849" s="1509"/>
      <c r="N849" s="1509"/>
      <c r="O849" s="1509"/>
      <c r="P849" s="1509"/>
      <c r="Q849" s="1314"/>
      <c r="R849" s="1314"/>
      <c r="S849" s="1314"/>
      <c r="T849" s="1314"/>
      <c r="U849" s="1314"/>
      <c r="V849" s="1314"/>
      <c r="W849" s="1314"/>
      <c r="X849" s="1314"/>
      <c r="Y849" s="1314"/>
      <c r="Z849" s="1314"/>
    </row>
    <row r="850" spans="1:26" ht="18.75">
      <c r="A850" s="1393"/>
      <c r="B850" s="1393"/>
      <c r="C850" s="1393"/>
      <c r="D850" s="1506"/>
      <c r="E850" s="1393"/>
      <c r="F850" s="1393"/>
      <c r="G850" s="1393"/>
      <c r="H850" s="1507"/>
      <c r="I850" s="1508"/>
      <c r="J850" s="1508"/>
      <c r="K850" s="1509"/>
      <c r="L850" s="1509"/>
      <c r="M850" s="1509"/>
      <c r="N850" s="1509"/>
      <c r="O850" s="1509"/>
      <c r="P850" s="1509"/>
      <c r="Q850" s="1314"/>
      <c r="R850" s="1314"/>
      <c r="S850" s="1314"/>
      <c r="T850" s="1314"/>
      <c r="U850" s="1314"/>
      <c r="V850" s="1314"/>
      <c r="W850" s="1314"/>
      <c r="X850" s="1314"/>
      <c r="Y850" s="1314"/>
      <c r="Z850" s="1314"/>
    </row>
    <row r="851" spans="1:26" ht="18.75">
      <c r="A851" s="1393"/>
      <c r="B851" s="1393"/>
      <c r="C851" s="1393"/>
      <c r="D851" s="1506"/>
      <c r="E851" s="1393"/>
      <c r="F851" s="1393"/>
      <c r="G851" s="1393"/>
      <c r="H851" s="1507"/>
      <c r="I851" s="1508"/>
      <c r="J851" s="1508"/>
      <c r="K851" s="1509"/>
      <c r="L851" s="1509"/>
      <c r="M851" s="1509"/>
      <c r="N851" s="1509"/>
      <c r="O851" s="1509"/>
      <c r="P851" s="1509"/>
      <c r="Q851" s="1314"/>
      <c r="R851" s="1314"/>
      <c r="S851" s="1314"/>
      <c r="T851" s="1314"/>
      <c r="U851" s="1314"/>
      <c r="V851" s="1314"/>
      <c r="W851" s="1314"/>
      <c r="X851" s="1314"/>
      <c r="Y851" s="1314"/>
      <c r="Z851" s="1314"/>
    </row>
    <row r="852" spans="1:26" ht="18.75">
      <c r="A852" s="1393"/>
      <c r="B852" s="1393"/>
      <c r="C852" s="1393"/>
      <c r="D852" s="1506"/>
      <c r="E852" s="1393"/>
      <c r="F852" s="1393"/>
      <c r="G852" s="1393"/>
      <c r="H852" s="1507"/>
      <c r="I852" s="1508"/>
      <c r="J852" s="1508"/>
      <c r="K852" s="1509"/>
      <c r="L852" s="1509"/>
      <c r="M852" s="1509"/>
      <c r="N852" s="1509"/>
      <c r="O852" s="1509"/>
      <c r="P852" s="1509"/>
      <c r="Q852" s="1314"/>
      <c r="R852" s="1314"/>
      <c r="S852" s="1314"/>
      <c r="T852" s="1314"/>
      <c r="U852" s="1314"/>
      <c r="V852" s="1314"/>
      <c r="W852" s="1314"/>
      <c r="X852" s="1314"/>
      <c r="Y852" s="1314"/>
      <c r="Z852" s="1314"/>
    </row>
    <row r="853" spans="1:26" ht="18.75">
      <c r="A853" s="1393"/>
      <c r="B853" s="1393"/>
      <c r="C853" s="1393"/>
      <c r="D853" s="1506"/>
      <c r="E853" s="1393"/>
      <c r="F853" s="1393"/>
      <c r="G853" s="1393"/>
      <c r="H853" s="1507"/>
      <c r="I853" s="1508"/>
      <c r="J853" s="1508"/>
      <c r="K853" s="1509"/>
      <c r="L853" s="1509"/>
      <c r="M853" s="1509"/>
      <c r="N853" s="1509"/>
      <c r="O853" s="1509"/>
      <c r="P853" s="1509"/>
      <c r="Q853" s="1314"/>
      <c r="R853" s="1314"/>
      <c r="S853" s="1314"/>
      <c r="T853" s="1314"/>
      <c r="U853" s="1314"/>
      <c r="V853" s="1314"/>
      <c r="W853" s="1314"/>
      <c r="X853" s="1314"/>
      <c r="Y853" s="1314"/>
      <c r="Z853" s="1314"/>
    </row>
    <row r="854" spans="1:26" ht="18.75">
      <c r="A854" s="1393"/>
      <c r="B854" s="1393"/>
      <c r="C854" s="1393"/>
      <c r="D854" s="1506"/>
      <c r="E854" s="1393"/>
      <c r="F854" s="1393"/>
      <c r="G854" s="1393"/>
      <c r="H854" s="1507"/>
      <c r="I854" s="1508"/>
      <c r="J854" s="1508"/>
      <c r="K854" s="1509"/>
      <c r="L854" s="1509"/>
      <c r="M854" s="1509"/>
      <c r="N854" s="1509"/>
      <c r="O854" s="1509"/>
      <c r="P854" s="1509"/>
      <c r="Q854" s="1314"/>
      <c r="R854" s="1314"/>
      <c r="S854" s="1314"/>
      <c r="T854" s="1314"/>
      <c r="U854" s="1314"/>
      <c r="V854" s="1314"/>
      <c r="W854" s="1314"/>
      <c r="X854" s="1314"/>
      <c r="Y854" s="1314"/>
      <c r="Z854" s="1314"/>
    </row>
    <row r="855" spans="1:26" ht="18.75">
      <c r="A855" s="1393"/>
      <c r="B855" s="1393"/>
      <c r="C855" s="1393"/>
      <c r="D855" s="1506"/>
      <c r="E855" s="1393"/>
      <c r="F855" s="1393"/>
      <c r="G855" s="1393"/>
      <c r="H855" s="1507"/>
      <c r="I855" s="1508"/>
      <c r="J855" s="1508"/>
      <c r="K855" s="1509"/>
      <c r="L855" s="1509"/>
      <c r="M855" s="1509"/>
      <c r="N855" s="1509"/>
      <c r="O855" s="1509"/>
      <c r="P855" s="1509"/>
      <c r="Q855" s="1314"/>
      <c r="R855" s="1314"/>
      <c r="S855" s="1314"/>
      <c r="T855" s="1314"/>
      <c r="U855" s="1314"/>
      <c r="V855" s="1314"/>
      <c r="W855" s="1314"/>
      <c r="X855" s="1314"/>
      <c r="Y855" s="1314"/>
      <c r="Z855" s="1314"/>
    </row>
    <row r="856" spans="1:26" ht="18.75">
      <c r="A856" s="1393"/>
      <c r="B856" s="1393"/>
      <c r="C856" s="1393"/>
      <c r="D856" s="1506"/>
      <c r="E856" s="1393"/>
      <c r="F856" s="1393"/>
      <c r="G856" s="1393"/>
      <c r="H856" s="1507"/>
      <c r="I856" s="1508"/>
      <c r="J856" s="1508"/>
      <c r="K856" s="1509"/>
      <c r="L856" s="1509"/>
      <c r="M856" s="1509"/>
      <c r="N856" s="1509"/>
      <c r="O856" s="1509"/>
      <c r="P856" s="1509"/>
      <c r="Q856" s="1314"/>
      <c r="R856" s="1314"/>
      <c r="S856" s="1314"/>
      <c r="T856" s="1314"/>
      <c r="U856" s="1314"/>
      <c r="V856" s="1314"/>
      <c r="W856" s="1314"/>
      <c r="X856" s="1314"/>
      <c r="Y856" s="1314"/>
      <c r="Z856" s="1314"/>
    </row>
    <row r="857" spans="1:26" ht="18.75">
      <c r="A857" s="1393"/>
      <c r="B857" s="1393"/>
      <c r="C857" s="1393"/>
      <c r="D857" s="1506"/>
      <c r="E857" s="1393"/>
      <c r="F857" s="1393"/>
      <c r="G857" s="1393"/>
      <c r="H857" s="1507"/>
      <c r="I857" s="1508"/>
      <c r="J857" s="1508"/>
      <c r="K857" s="1509"/>
      <c r="L857" s="1509"/>
      <c r="M857" s="1509"/>
      <c r="N857" s="1509"/>
      <c r="O857" s="1509"/>
      <c r="P857" s="1509"/>
      <c r="Q857" s="1314"/>
      <c r="R857" s="1314"/>
      <c r="S857" s="1314"/>
      <c r="T857" s="1314"/>
      <c r="U857" s="1314"/>
      <c r="V857" s="1314"/>
      <c r="W857" s="1314"/>
      <c r="X857" s="1314"/>
      <c r="Y857" s="1314"/>
      <c r="Z857" s="1314"/>
    </row>
    <row r="858" spans="1:26" ht="18.75">
      <c r="A858" s="1393"/>
      <c r="B858" s="1393"/>
      <c r="C858" s="1393"/>
      <c r="D858" s="1506"/>
      <c r="E858" s="1393"/>
      <c r="F858" s="1393"/>
      <c r="G858" s="1393"/>
      <c r="H858" s="1507"/>
      <c r="I858" s="1508"/>
      <c r="J858" s="1508"/>
      <c r="K858" s="1509"/>
      <c r="L858" s="1509"/>
      <c r="M858" s="1509"/>
      <c r="N858" s="1509"/>
      <c r="O858" s="1509"/>
      <c r="P858" s="1509"/>
      <c r="Q858" s="1314"/>
      <c r="R858" s="1314"/>
      <c r="S858" s="1314"/>
      <c r="T858" s="1314"/>
      <c r="U858" s="1314"/>
      <c r="V858" s="1314"/>
      <c r="W858" s="1314"/>
      <c r="X858" s="1314"/>
      <c r="Y858" s="1314"/>
      <c r="Z858" s="1314"/>
    </row>
    <row r="859" spans="1:26" ht="18.75">
      <c r="A859" s="1393"/>
      <c r="B859" s="1393"/>
      <c r="C859" s="1393"/>
      <c r="D859" s="1506"/>
      <c r="E859" s="1393"/>
      <c r="F859" s="1393"/>
      <c r="G859" s="1393"/>
      <c r="H859" s="1507"/>
      <c r="I859" s="1508"/>
      <c r="J859" s="1508"/>
      <c r="K859" s="1509"/>
      <c r="L859" s="1509"/>
      <c r="M859" s="1509"/>
      <c r="N859" s="1509"/>
      <c r="O859" s="1509"/>
      <c r="P859" s="1509"/>
      <c r="Q859" s="1314"/>
      <c r="R859" s="1314"/>
      <c r="S859" s="1314"/>
      <c r="T859" s="1314"/>
      <c r="U859" s="1314"/>
      <c r="V859" s="1314"/>
      <c r="W859" s="1314"/>
      <c r="X859" s="1314"/>
      <c r="Y859" s="1314"/>
      <c r="Z859" s="1314"/>
    </row>
    <row r="860" spans="1:26" ht="18.75">
      <c r="A860" s="1393"/>
      <c r="B860" s="1393"/>
      <c r="C860" s="1393"/>
      <c r="D860" s="1506"/>
      <c r="E860" s="1393"/>
      <c r="F860" s="1393"/>
      <c r="G860" s="1393"/>
      <c r="H860" s="1507"/>
      <c r="I860" s="1508"/>
      <c r="J860" s="1508"/>
      <c r="K860" s="1509"/>
      <c r="L860" s="1509"/>
      <c r="M860" s="1509"/>
      <c r="N860" s="1509"/>
      <c r="O860" s="1509"/>
      <c r="P860" s="1509"/>
      <c r="Q860" s="1314"/>
      <c r="R860" s="1314"/>
      <c r="S860" s="1314"/>
      <c r="T860" s="1314"/>
      <c r="U860" s="1314"/>
      <c r="V860" s="1314"/>
      <c r="W860" s="1314"/>
      <c r="X860" s="1314"/>
      <c r="Y860" s="1314"/>
      <c r="Z860" s="1314"/>
    </row>
    <row r="861" spans="1:26" ht="18.75">
      <c r="A861" s="1393"/>
      <c r="B861" s="1393"/>
      <c r="C861" s="1393"/>
      <c r="D861" s="1506"/>
      <c r="E861" s="1393"/>
      <c r="F861" s="1393"/>
      <c r="G861" s="1393"/>
      <c r="H861" s="1507"/>
      <c r="I861" s="1508"/>
      <c r="J861" s="1508"/>
      <c r="K861" s="1509"/>
      <c r="L861" s="1509"/>
      <c r="M861" s="1509"/>
      <c r="N861" s="1509"/>
      <c r="O861" s="1509"/>
      <c r="P861" s="1509"/>
      <c r="Q861" s="1314"/>
      <c r="R861" s="1314"/>
      <c r="S861" s="1314"/>
      <c r="T861" s="1314"/>
      <c r="U861" s="1314"/>
      <c r="V861" s="1314"/>
      <c r="W861" s="1314"/>
      <c r="X861" s="1314"/>
      <c r="Y861" s="1314"/>
      <c r="Z861" s="1314"/>
    </row>
    <row r="862" spans="1:26" ht="18.75">
      <c r="A862" s="1393"/>
      <c r="B862" s="1393"/>
      <c r="C862" s="1393"/>
      <c r="D862" s="1506"/>
      <c r="E862" s="1393"/>
      <c r="F862" s="1393"/>
      <c r="G862" s="1393"/>
      <c r="H862" s="1507"/>
      <c r="I862" s="1508"/>
      <c r="J862" s="1508"/>
      <c r="K862" s="1509"/>
      <c r="L862" s="1509"/>
      <c r="M862" s="1509"/>
      <c r="N862" s="1509"/>
      <c r="O862" s="1509"/>
      <c r="P862" s="1509"/>
      <c r="Q862" s="1314"/>
      <c r="R862" s="1314"/>
      <c r="S862" s="1314"/>
      <c r="T862" s="1314"/>
      <c r="U862" s="1314"/>
      <c r="V862" s="1314"/>
      <c r="W862" s="1314"/>
      <c r="X862" s="1314"/>
      <c r="Y862" s="1314"/>
      <c r="Z862" s="1314"/>
    </row>
    <row r="863" spans="1:26" ht="18.75">
      <c r="A863" s="1393"/>
      <c r="B863" s="1393"/>
      <c r="C863" s="1393"/>
      <c r="D863" s="1506"/>
      <c r="E863" s="1393"/>
      <c r="F863" s="1393"/>
      <c r="G863" s="1393"/>
      <c r="H863" s="1507"/>
      <c r="I863" s="1508"/>
      <c r="J863" s="1508"/>
      <c r="K863" s="1509"/>
      <c r="L863" s="1509"/>
      <c r="M863" s="1509"/>
      <c r="N863" s="1509"/>
      <c r="O863" s="1509"/>
      <c r="P863" s="1509"/>
      <c r="Q863" s="1314"/>
      <c r="R863" s="1314"/>
      <c r="S863" s="1314"/>
      <c r="T863" s="1314"/>
      <c r="U863" s="1314"/>
      <c r="V863" s="1314"/>
      <c r="W863" s="1314"/>
      <c r="X863" s="1314"/>
      <c r="Y863" s="1314"/>
      <c r="Z863" s="1314"/>
    </row>
    <row r="864" spans="1:26" ht="18.75">
      <c r="A864" s="1393"/>
      <c r="B864" s="1393"/>
      <c r="C864" s="1393"/>
      <c r="D864" s="1506"/>
      <c r="E864" s="1393"/>
      <c r="F864" s="1393"/>
      <c r="G864" s="1393"/>
      <c r="H864" s="1507"/>
      <c r="I864" s="1508"/>
      <c r="J864" s="1508"/>
      <c r="K864" s="1509"/>
      <c r="L864" s="1509"/>
      <c r="M864" s="1509"/>
      <c r="N864" s="1509"/>
      <c r="O864" s="1509"/>
      <c r="P864" s="1509"/>
      <c r="Q864" s="1314"/>
      <c r="R864" s="1314"/>
      <c r="S864" s="1314"/>
      <c r="T864" s="1314"/>
      <c r="U864" s="1314"/>
      <c r="V864" s="1314"/>
      <c r="W864" s="1314"/>
      <c r="X864" s="1314"/>
      <c r="Y864" s="1314"/>
      <c r="Z864" s="1314"/>
    </row>
    <row r="865" spans="1:26" ht="18.75">
      <c r="A865" s="1393"/>
      <c r="B865" s="1393"/>
      <c r="C865" s="1393"/>
      <c r="D865" s="1506"/>
      <c r="E865" s="1393"/>
      <c r="F865" s="1393"/>
      <c r="G865" s="1393"/>
      <c r="H865" s="1507"/>
      <c r="I865" s="1508"/>
      <c r="J865" s="1508"/>
      <c r="K865" s="1509"/>
      <c r="L865" s="1509"/>
      <c r="M865" s="1509"/>
      <c r="N865" s="1509"/>
      <c r="O865" s="1509"/>
      <c r="P865" s="1509"/>
      <c r="Q865" s="1314"/>
      <c r="R865" s="1314"/>
      <c r="S865" s="1314"/>
      <c r="T865" s="1314"/>
      <c r="U865" s="1314"/>
      <c r="V865" s="1314"/>
      <c r="W865" s="1314"/>
      <c r="X865" s="1314"/>
      <c r="Y865" s="1314"/>
      <c r="Z865" s="1314"/>
    </row>
    <row r="866" spans="1:26" ht="18.75">
      <c r="A866" s="1393"/>
      <c r="B866" s="1393"/>
      <c r="C866" s="1393"/>
      <c r="D866" s="1506"/>
      <c r="E866" s="1393"/>
      <c r="F866" s="1393"/>
      <c r="G866" s="1393"/>
      <c r="H866" s="1507"/>
      <c r="I866" s="1508"/>
      <c r="J866" s="1508"/>
      <c r="K866" s="1509"/>
      <c r="L866" s="1509"/>
      <c r="M866" s="1509"/>
      <c r="N866" s="1509"/>
      <c r="O866" s="1509"/>
      <c r="P866" s="1509"/>
      <c r="Q866" s="1314"/>
      <c r="R866" s="1314"/>
      <c r="S866" s="1314"/>
      <c r="T866" s="1314"/>
      <c r="U866" s="1314"/>
      <c r="V866" s="1314"/>
      <c r="W866" s="1314"/>
      <c r="X866" s="1314"/>
      <c r="Y866" s="1314"/>
      <c r="Z866" s="1314"/>
    </row>
    <row r="867" spans="1:26" ht="18.75">
      <c r="A867" s="1393"/>
      <c r="B867" s="1393"/>
      <c r="C867" s="1393"/>
      <c r="D867" s="1506"/>
      <c r="E867" s="1393"/>
      <c r="F867" s="1393"/>
      <c r="G867" s="1393"/>
      <c r="H867" s="1507"/>
      <c r="I867" s="1508"/>
      <c r="J867" s="1508"/>
      <c r="K867" s="1509"/>
      <c r="L867" s="1509"/>
      <c r="M867" s="1509"/>
      <c r="N867" s="1509"/>
      <c r="O867" s="1509"/>
      <c r="P867" s="1509"/>
      <c r="Q867" s="1314"/>
      <c r="R867" s="1314"/>
      <c r="S867" s="1314"/>
      <c r="T867" s="1314"/>
      <c r="U867" s="1314"/>
      <c r="V867" s="1314"/>
      <c r="W867" s="1314"/>
      <c r="X867" s="1314"/>
      <c r="Y867" s="1314"/>
      <c r="Z867" s="1314"/>
    </row>
    <row r="868" spans="1:26" ht="18.75">
      <c r="A868" s="1393"/>
      <c r="B868" s="1393"/>
      <c r="C868" s="1393"/>
      <c r="D868" s="1506"/>
      <c r="E868" s="1393"/>
      <c r="F868" s="1393"/>
      <c r="G868" s="1393"/>
      <c r="H868" s="1507"/>
      <c r="I868" s="1508"/>
      <c r="J868" s="1508"/>
      <c r="K868" s="1509"/>
      <c r="L868" s="1509"/>
      <c r="M868" s="1509"/>
      <c r="N868" s="1509"/>
      <c r="O868" s="1509"/>
      <c r="P868" s="1509"/>
      <c r="Q868" s="1314"/>
      <c r="R868" s="1314"/>
      <c r="S868" s="1314"/>
      <c r="T868" s="1314"/>
      <c r="U868" s="1314"/>
      <c r="V868" s="1314"/>
      <c r="W868" s="1314"/>
      <c r="X868" s="1314"/>
      <c r="Y868" s="1314"/>
      <c r="Z868" s="1314"/>
    </row>
    <row r="869" spans="1:26" ht="18.75">
      <c r="A869" s="1393"/>
      <c r="B869" s="1393"/>
      <c r="C869" s="1393"/>
      <c r="D869" s="1506"/>
      <c r="E869" s="1393"/>
      <c r="F869" s="1393"/>
      <c r="G869" s="1393"/>
      <c r="H869" s="1507"/>
      <c r="I869" s="1508"/>
      <c r="J869" s="1508"/>
      <c r="K869" s="1509"/>
      <c r="L869" s="1509"/>
      <c r="M869" s="1509"/>
      <c r="N869" s="1509"/>
      <c r="O869" s="1509"/>
      <c r="P869" s="1509"/>
      <c r="Q869" s="1314"/>
      <c r="R869" s="1314"/>
      <c r="S869" s="1314"/>
      <c r="T869" s="1314"/>
      <c r="U869" s="1314"/>
      <c r="V869" s="1314"/>
      <c r="W869" s="1314"/>
      <c r="X869" s="1314"/>
      <c r="Y869" s="1314"/>
      <c r="Z869" s="1314"/>
    </row>
    <row r="870" spans="1:26" ht="18.75">
      <c r="A870" s="1393"/>
      <c r="B870" s="1393"/>
      <c r="C870" s="1393"/>
      <c r="D870" s="1506"/>
      <c r="E870" s="1393"/>
      <c r="F870" s="1393"/>
      <c r="G870" s="1393"/>
      <c r="H870" s="1507"/>
      <c r="I870" s="1508"/>
      <c r="J870" s="1508"/>
      <c r="K870" s="1509"/>
      <c r="L870" s="1509"/>
      <c r="M870" s="1509"/>
      <c r="N870" s="1509"/>
      <c r="O870" s="1509"/>
      <c r="P870" s="1509"/>
      <c r="Q870" s="1314"/>
      <c r="R870" s="1314"/>
      <c r="S870" s="1314"/>
      <c r="T870" s="1314"/>
      <c r="U870" s="1314"/>
      <c r="V870" s="1314"/>
      <c r="W870" s="1314"/>
      <c r="X870" s="1314"/>
      <c r="Y870" s="1314"/>
      <c r="Z870" s="1314"/>
    </row>
    <row r="871" spans="1:26" ht="18.75">
      <c r="A871" s="1393"/>
      <c r="B871" s="1393"/>
      <c r="C871" s="1393"/>
      <c r="D871" s="1506"/>
      <c r="E871" s="1393"/>
      <c r="F871" s="1393"/>
      <c r="G871" s="1393"/>
      <c r="H871" s="1507"/>
      <c r="I871" s="1508"/>
      <c r="J871" s="1508"/>
      <c r="K871" s="1509"/>
      <c r="L871" s="1509"/>
      <c r="M871" s="1509"/>
      <c r="N871" s="1509"/>
      <c r="O871" s="1509"/>
      <c r="P871" s="1509"/>
      <c r="Q871" s="1314"/>
      <c r="R871" s="1314"/>
      <c r="S871" s="1314"/>
      <c r="T871" s="1314"/>
      <c r="U871" s="1314"/>
      <c r="V871" s="1314"/>
      <c r="W871" s="1314"/>
      <c r="X871" s="1314"/>
      <c r="Y871" s="1314"/>
      <c r="Z871" s="1314"/>
    </row>
    <row r="872" spans="1:26" ht="18.75">
      <c r="A872" s="1393"/>
      <c r="B872" s="1393"/>
      <c r="C872" s="1393"/>
      <c r="D872" s="1506"/>
      <c r="E872" s="1393"/>
      <c r="F872" s="1393"/>
      <c r="G872" s="1393"/>
      <c r="H872" s="1507"/>
      <c r="I872" s="1508"/>
      <c r="J872" s="1508"/>
      <c r="K872" s="1509"/>
      <c r="L872" s="1509"/>
      <c r="M872" s="1509"/>
      <c r="N872" s="1509"/>
      <c r="O872" s="1509"/>
      <c r="P872" s="1509"/>
      <c r="Q872" s="1314"/>
      <c r="R872" s="1314"/>
      <c r="S872" s="1314"/>
      <c r="T872" s="1314"/>
      <c r="U872" s="1314"/>
      <c r="V872" s="1314"/>
      <c r="W872" s="1314"/>
      <c r="X872" s="1314"/>
      <c r="Y872" s="1314"/>
      <c r="Z872" s="1314"/>
    </row>
    <row r="873" spans="1:26" ht="18.75">
      <c r="A873" s="1393"/>
      <c r="B873" s="1393"/>
      <c r="C873" s="1393"/>
      <c r="D873" s="1506"/>
      <c r="E873" s="1393"/>
      <c r="F873" s="1393"/>
      <c r="G873" s="1393"/>
      <c r="H873" s="1507"/>
      <c r="I873" s="1508"/>
      <c r="J873" s="1508"/>
      <c r="K873" s="1509"/>
      <c r="L873" s="1509"/>
      <c r="M873" s="1509"/>
      <c r="N873" s="1509"/>
      <c r="O873" s="1509"/>
      <c r="P873" s="1509"/>
      <c r="Q873" s="1314"/>
      <c r="R873" s="1314"/>
      <c r="S873" s="1314"/>
      <c r="T873" s="1314"/>
      <c r="U873" s="1314"/>
      <c r="V873" s="1314"/>
      <c r="W873" s="1314"/>
      <c r="X873" s="1314"/>
      <c r="Y873" s="1314"/>
      <c r="Z873" s="1314"/>
    </row>
    <row r="874" spans="1:26" ht="18.75">
      <c r="A874" s="1393"/>
      <c r="B874" s="1393"/>
      <c r="C874" s="1393"/>
      <c r="D874" s="1506"/>
      <c r="E874" s="1393"/>
      <c r="F874" s="1393"/>
      <c r="G874" s="1393"/>
      <c r="H874" s="1507"/>
      <c r="I874" s="1508"/>
      <c r="J874" s="1508"/>
      <c r="K874" s="1509"/>
      <c r="L874" s="1509"/>
      <c r="M874" s="1509"/>
      <c r="N874" s="1509"/>
      <c r="O874" s="1509"/>
      <c r="P874" s="1509"/>
      <c r="Q874" s="1314"/>
      <c r="R874" s="1314"/>
      <c r="S874" s="1314"/>
      <c r="T874" s="1314"/>
      <c r="U874" s="1314"/>
      <c r="V874" s="1314"/>
      <c r="W874" s="1314"/>
      <c r="X874" s="1314"/>
      <c r="Y874" s="1314"/>
      <c r="Z874" s="1314"/>
    </row>
    <row r="875" spans="1:26" ht="18.75">
      <c r="A875" s="1393"/>
      <c r="B875" s="1393"/>
      <c r="C875" s="1393"/>
      <c r="D875" s="1506"/>
      <c r="E875" s="1393"/>
      <c r="F875" s="1393"/>
      <c r="G875" s="1393"/>
      <c r="H875" s="1507"/>
      <c r="I875" s="1508"/>
      <c r="J875" s="1508"/>
      <c r="K875" s="1509"/>
      <c r="L875" s="1509"/>
      <c r="M875" s="1509"/>
      <c r="N875" s="1509"/>
      <c r="O875" s="1509"/>
      <c r="P875" s="1509"/>
      <c r="Q875" s="1314"/>
      <c r="R875" s="1314"/>
      <c r="S875" s="1314"/>
      <c r="T875" s="1314"/>
      <c r="U875" s="1314"/>
      <c r="V875" s="1314"/>
      <c r="W875" s="1314"/>
      <c r="X875" s="1314"/>
      <c r="Y875" s="1314"/>
      <c r="Z875" s="1314"/>
    </row>
    <row r="876" spans="1:26" ht="18.75">
      <c r="A876" s="1393"/>
      <c r="B876" s="1393"/>
      <c r="C876" s="1393"/>
      <c r="D876" s="1506"/>
      <c r="E876" s="1393"/>
      <c r="F876" s="1393"/>
      <c r="G876" s="1393"/>
      <c r="H876" s="1507"/>
      <c r="I876" s="1508"/>
      <c r="J876" s="1508"/>
      <c r="K876" s="1509"/>
      <c r="L876" s="1509"/>
      <c r="M876" s="1509"/>
      <c r="N876" s="1509"/>
      <c r="O876" s="1509"/>
      <c r="P876" s="1509"/>
      <c r="Q876" s="1314"/>
      <c r="R876" s="1314"/>
      <c r="S876" s="1314"/>
      <c r="T876" s="1314"/>
      <c r="U876" s="1314"/>
      <c r="V876" s="1314"/>
      <c r="W876" s="1314"/>
      <c r="X876" s="1314"/>
      <c r="Y876" s="1314"/>
      <c r="Z876" s="1314"/>
    </row>
    <row r="877" spans="1:26" ht="18.75">
      <c r="A877" s="1393"/>
      <c r="B877" s="1393"/>
      <c r="C877" s="1393"/>
      <c r="D877" s="1506"/>
      <c r="E877" s="1393"/>
      <c r="F877" s="1393"/>
      <c r="G877" s="1393"/>
      <c r="H877" s="1507"/>
      <c r="I877" s="1508"/>
      <c r="J877" s="1508"/>
      <c r="K877" s="1509"/>
      <c r="L877" s="1509"/>
      <c r="M877" s="1509"/>
      <c r="N877" s="1509"/>
      <c r="O877" s="1509"/>
      <c r="P877" s="1509"/>
      <c r="Q877" s="1314"/>
      <c r="R877" s="1314"/>
      <c r="S877" s="1314"/>
      <c r="T877" s="1314"/>
      <c r="U877" s="1314"/>
      <c r="V877" s="1314"/>
      <c r="W877" s="1314"/>
      <c r="X877" s="1314"/>
      <c r="Y877" s="1314"/>
      <c r="Z877" s="1314"/>
    </row>
    <row r="878" spans="1:26" ht="18.75">
      <c r="A878" s="1393"/>
      <c r="B878" s="1393"/>
      <c r="C878" s="1393"/>
      <c r="D878" s="1506"/>
      <c r="E878" s="1393"/>
      <c r="F878" s="1393"/>
      <c r="G878" s="1393"/>
      <c r="H878" s="1507"/>
      <c r="I878" s="1508"/>
      <c r="J878" s="1508"/>
      <c r="K878" s="1509"/>
      <c r="L878" s="1509"/>
      <c r="M878" s="1509"/>
      <c r="N878" s="1509"/>
      <c r="O878" s="1509"/>
      <c r="P878" s="1509"/>
      <c r="Q878" s="1314"/>
      <c r="R878" s="1314"/>
      <c r="S878" s="1314"/>
      <c r="T878" s="1314"/>
      <c r="U878" s="1314"/>
      <c r="V878" s="1314"/>
      <c r="W878" s="1314"/>
      <c r="X878" s="1314"/>
      <c r="Y878" s="1314"/>
      <c r="Z878" s="1314"/>
    </row>
    <row r="879" spans="1:26" ht="18.75">
      <c r="A879" s="1393"/>
      <c r="B879" s="1393"/>
      <c r="C879" s="1393"/>
      <c r="D879" s="1506"/>
      <c r="E879" s="1393"/>
      <c r="F879" s="1393"/>
      <c r="G879" s="1393"/>
      <c r="H879" s="1507"/>
      <c r="I879" s="1508"/>
      <c r="J879" s="1508"/>
      <c r="K879" s="1509"/>
      <c r="L879" s="1509"/>
      <c r="M879" s="1509"/>
      <c r="N879" s="1509"/>
      <c r="O879" s="1509"/>
      <c r="P879" s="1509"/>
      <c r="Q879" s="1314"/>
      <c r="R879" s="1314"/>
      <c r="S879" s="1314"/>
      <c r="T879" s="1314"/>
      <c r="U879" s="1314"/>
      <c r="V879" s="1314"/>
      <c r="W879" s="1314"/>
      <c r="X879" s="1314"/>
      <c r="Y879" s="1314"/>
      <c r="Z879" s="1314"/>
    </row>
    <row r="880" spans="1:26" ht="18.75">
      <c r="A880" s="1393"/>
      <c r="B880" s="1393"/>
      <c r="C880" s="1393"/>
      <c r="D880" s="1506"/>
      <c r="E880" s="1393"/>
      <c r="F880" s="1393"/>
      <c r="G880" s="1393"/>
      <c r="H880" s="1507"/>
      <c r="I880" s="1508"/>
      <c r="J880" s="1508"/>
      <c r="K880" s="1509"/>
      <c r="L880" s="1509"/>
      <c r="M880" s="1509"/>
      <c r="N880" s="1509"/>
      <c r="O880" s="1509"/>
      <c r="P880" s="1509"/>
      <c r="Q880" s="1314"/>
      <c r="R880" s="1314"/>
      <c r="S880" s="1314"/>
      <c r="T880" s="1314"/>
      <c r="U880" s="1314"/>
      <c r="V880" s="1314"/>
      <c r="W880" s="1314"/>
      <c r="X880" s="1314"/>
      <c r="Y880" s="1314"/>
      <c r="Z880" s="1314"/>
    </row>
    <row r="881" spans="1:26" ht="18.75">
      <c r="A881" s="1393"/>
      <c r="B881" s="1393"/>
      <c r="C881" s="1393"/>
      <c r="D881" s="1506"/>
      <c r="E881" s="1393"/>
      <c r="F881" s="1393"/>
      <c r="G881" s="1393"/>
      <c r="H881" s="1507"/>
      <c r="I881" s="1508"/>
      <c r="J881" s="1508"/>
      <c r="K881" s="1509"/>
      <c r="L881" s="1509"/>
      <c r="M881" s="1509"/>
      <c r="N881" s="1509"/>
      <c r="O881" s="1509"/>
      <c r="P881" s="1509"/>
      <c r="Q881" s="1314"/>
      <c r="R881" s="1314"/>
      <c r="S881" s="1314"/>
      <c r="T881" s="1314"/>
      <c r="U881" s="1314"/>
      <c r="V881" s="1314"/>
      <c r="W881" s="1314"/>
      <c r="X881" s="1314"/>
      <c r="Y881" s="1314"/>
      <c r="Z881" s="1314"/>
    </row>
    <row r="882" spans="1:26" ht="18.75">
      <c r="A882" s="1393"/>
      <c r="B882" s="1393"/>
      <c r="C882" s="1393"/>
      <c r="D882" s="1506"/>
      <c r="E882" s="1393"/>
      <c r="F882" s="1393"/>
      <c r="G882" s="1393"/>
      <c r="H882" s="1507"/>
      <c r="I882" s="1508"/>
      <c r="J882" s="1508"/>
      <c r="K882" s="1509"/>
      <c r="L882" s="1509"/>
      <c r="M882" s="1509"/>
      <c r="N882" s="1509"/>
      <c r="O882" s="1509"/>
      <c r="P882" s="1509"/>
      <c r="Q882" s="1314"/>
      <c r="R882" s="1314"/>
      <c r="S882" s="1314"/>
      <c r="T882" s="1314"/>
      <c r="U882" s="1314"/>
      <c r="V882" s="1314"/>
      <c r="W882" s="1314"/>
      <c r="X882" s="1314"/>
      <c r="Y882" s="1314"/>
      <c r="Z882" s="1314"/>
    </row>
    <row r="883" spans="1:26" ht="18.75">
      <c r="A883" s="1393"/>
      <c r="B883" s="1393"/>
      <c r="C883" s="1393"/>
      <c r="D883" s="1506"/>
      <c r="E883" s="1393"/>
      <c r="F883" s="1393"/>
      <c r="G883" s="1393"/>
      <c r="H883" s="1507"/>
      <c r="I883" s="1508"/>
      <c r="J883" s="1508"/>
      <c r="K883" s="1509"/>
      <c r="L883" s="1509"/>
      <c r="M883" s="1509"/>
      <c r="N883" s="1509"/>
      <c r="O883" s="1509"/>
      <c r="P883" s="1509"/>
      <c r="Q883" s="1314"/>
      <c r="R883" s="1314"/>
      <c r="S883" s="1314"/>
      <c r="T883" s="1314"/>
      <c r="U883" s="1314"/>
      <c r="V883" s="1314"/>
      <c r="W883" s="1314"/>
      <c r="X883" s="1314"/>
      <c r="Y883" s="1314"/>
      <c r="Z883" s="1314"/>
    </row>
    <row r="884" spans="1:26" ht="18.75">
      <c r="A884" s="1393"/>
      <c r="B884" s="1393"/>
      <c r="C884" s="1393"/>
      <c r="D884" s="1506"/>
      <c r="E884" s="1393"/>
      <c r="F884" s="1393"/>
      <c r="G884" s="1393"/>
      <c r="H884" s="1507"/>
      <c r="I884" s="1508"/>
      <c r="J884" s="1508"/>
      <c r="K884" s="1509"/>
      <c r="L884" s="1509"/>
      <c r="M884" s="1509"/>
      <c r="N884" s="1509"/>
      <c r="O884" s="1509"/>
      <c r="P884" s="1509"/>
      <c r="Q884" s="1314"/>
      <c r="R884" s="1314"/>
      <c r="S884" s="1314"/>
      <c r="T884" s="1314"/>
      <c r="U884" s="1314"/>
      <c r="V884" s="1314"/>
      <c r="W884" s="1314"/>
      <c r="X884" s="1314"/>
      <c r="Y884" s="1314"/>
      <c r="Z884" s="1314"/>
    </row>
    <row r="885" spans="1:26" ht="18.75">
      <c r="A885" s="1393"/>
      <c r="B885" s="1393"/>
      <c r="C885" s="1393"/>
      <c r="D885" s="1506"/>
      <c r="E885" s="1393"/>
      <c r="F885" s="1393"/>
      <c r="G885" s="1393"/>
      <c r="H885" s="1507"/>
      <c r="I885" s="1508"/>
      <c r="J885" s="1508"/>
      <c r="K885" s="1509"/>
      <c r="L885" s="1509"/>
      <c r="M885" s="1509"/>
      <c r="N885" s="1509"/>
      <c r="O885" s="1509"/>
      <c r="P885" s="1509"/>
      <c r="Q885" s="1314"/>
      <c r="R885" s="1314"/>
      <c r="S885" s="1314"/>
      <c r="T885" s="1314"/>
      <c r="U885" s="1314"/>
      <c r="V885" s="1314"/>
      <c r="W885" s="1314"/>
      <c r="X885" s="1314"/>
      <c r="Y885" s="1314"/>
      <c r="Z885" s="1314"/>
    </row>
    <row r="886" spans="1:26" ht="18.75">
      <c r="A886" s="1393"/>
      <c r="B886" s="1393"/>
      <c r="C886" s="1393"/>
      <c r="D886" s="1506"/>
      <c r="E886" s="1393"/>
      <c r="F886" s="1393"/>
      <c r="G886" s="1393"/>
      <c r="H886" s="1507"/>
      <c r="I886" s="1508"/>
      <c r="J886" s="1508"/>
      <c r="K886" s="1509"/>
      <c r="L886" s="1509"/>
      <c r="M886" s="1509"/>
      <c r="N886" s="1509"/>
      <c r="O886" s="1509"/>
      <c r="P886" s="1509"/>
      <c r="Q886" s="1314"/>
      <c r="R886" s="1314"/>
      <c r="S886" s="1314"/>
      <c r="T886" s="1314"/>
      <c r="U886" s="1314"/>
      <c r="V886" s="1314"/>
      <c r="W886" s="1314"/>
      <c r="X886" s="1314"/>
      <c r="Y886" s="1314"/>
      <c r="Z886" s="1314"/>
    </row>
    <row r="887" spans="1:26" ht="18.75">
      <c r="A887" s="1393"/>
      <c r="B887" s="1393"/>
      <c r="C887" s="1393"/>
      <c r="D887" s="1506"/>
      <c r="E887" s="1393"/>
      <c r="F887" s="1393"/>
      <c r="G887" s="1393"/>
      <c r="H887" s="1507"/>
      <c r="I887" s="1508"/>
      <c r="J887" s="1508"/>
      <c r="K887" s="1509"/>
      <c r="L887" s="1509"/>
      <c r="M887" s="1509"/>
      <c r="N887" s="1509"/>
      <c r="O887" s="1509"/>
      <c r="P887" s="1509"/>
      <c r="Q887" s="1314"/>
      <c r="R887" s="1314"/>
      <c r="S887" s="1314"/>
      <c r="T887" s="1314"/>
      <c r="U887" s="1314"/>
      <c r="V887" s="1314"/>
      <c r="W887" s="1314"/>
      <c r="X887" s="1314"/>
      <c r="Y887" s="1314"/>
      <c r="Z887" s="1314"/>
    </row>
    <row r="888" spans="1:26" ht="18.75">
      <c r="A888" s="1393"/>
      <c r="B888" s="1393"/>
      <c r="C888" s="1393"/>
      <c r="D888" s="1506"/>
      <c r="E888" s="1393"/>
      <c r="F888" s="1393"/>
      <c r="G888" s="1393"/>
      <c r="H888" s="1507"/>
      <c r="I888" s="1508"/>
      <c r="J888" s="1508"/>
      <c r="K888" s="1509"/>
      <c r="L888" s="1509"/>
      <c r="M888" s="1509"/>
      <c r="N888" s="1509"/>
      <c r="O888" s="1509"/>
      <c r="P888" s="1509"/>
      <c r="Q888" s="1314"/>
      <c r="R888" s="1314"/>
      <c r="S888" s="1314"/>
      <c r="T888" s="1314"/>
      <c r="U888" s="1314"/>
      <c r="V888" s="1314"/>
      <c r="W888" s="1314"/>
      <c r="X888" s="1314"/>
      <c r="Y888" s="1314"/>
      <c r="Z888" s="1314"/>
    </row>
    <row r="889" spans="1:26" ht="18.75">
      <c r="A889" s="1393"/>
      <c r="B889" s="1393"/>
      <c r="C889" s="1393"/>
      <c r="D889" s="1506"/>
      <c r="E889" s="1393"/>
      <c r="F889" s="1393"/>
      <c r="G889" s="1393"/>
      <c r="H889" s="1507"/>
      <c r="I889" s="1508"/>
      <c r="J889" s="1508"/>
      <c r="K889" s="1509"/>
      <c r="L889" s="1509"/>
      <c r="M889" s="1509"/>
      <c r="N889" s="1509"/>
      <c r="O889" s="1509"/>
      <c r="P889" s="1509"/>
      <c r="Q889" s="1314"/>
      <c r="R889" s="1314"/>
      <c r="S889" s="1314"/>
      <c r="T889" s="1314"/>
      <c r="U889" s="1314"/>
      <c r="V889" s="1314"/>
      <c r="W889" s="1314"/>
      <c r="X889" s="1314"/>
      <c r="Y889" s="1314"/>
      <c r="Z889" s="1314"/>
    </row>
    <row r="890" spans="1:26" ht="18.75">
      <c r="A890" s="1393"/>
      <c r="B890" s="1393"/>
      <c r="C890" s="1393"/>
      <c r="D890" s="1506"/>
      <c r="E890" s="1393"/>
      <c r="F890" s="1393"/>
      <c r="G890" s="1393"/>
      <c r="H890" s="1507"/>
      <c r="I890" s="1508"/>
      <c r="J890" s="1508"/>
      <c r="K890" s="1509"/>
      <c r="L890" s="1509"/>
      <c r="M890" s="1509"/>
      <c r="N890" s="1509"/>
      <c r="O890" s="1509"/>
      <c r="P890" s="1509"/>
      <c r="Q890" s="1314"/>
      <c r="R890" s="1314"/>
      <c r="S890" s="1314"/>
      <c r="T890" s="1314"/>
      <c r="U890" s="1314"/>
      <c r="V890" s="1314"/>
      <c r="W890" s="1314"/>
      <c r="X890" s="1314"/>
      <c r="Y890" s="1314"/>
      <c r="Z890" s="1314"/>
    </row>
    <row r="891" spans="1:26" ht="18.75">
      <c r="A891" s="1393"/>
      <c r="B891" s="1393"/>
      <c r="C891" s="1393"/>
      <c r="D891" s="1506"/>
      <c r="E891" s="1393"/>
      <c r="F891" s="1393"/>
      <c r="G891" s="1393"/>
      <c r="H891" s="1507"/>
      <c r="I891" s="1508"/>
      <c r="J891" s="1508"/>
      <c r="K891" s="1509"/>
      <c r="L891" s="1509"/>
      <c r="M891" s="1509"/>
      <c r="N891" s="1509"/>
      <c r="O891" s="1509"/>
      <c r="P891" s="1509"/>
      <c r="Q891" s="1314"/>
      <c r="R891" s="1314"/>
      <c r="S891" s="1314"/>
      <c r="T891" s="1314"/>
      <c r="U891" s="1314"/>
      <c r="V891" s="1314"/>
      <c r="W891" s="1314"/>
      <c r="X891" s="1314"/>
      <c r="Y891" s="1314"/>
      <c r="Z891" s="1314"/>
    </row>
    <row r="892" spans="1:26" ht="18.75">
      <c r="A892" s="1393"/>
      <c r="B892" s="1393"/>
      <c r="C892" s="1393"/>
      <c r="D892" s="1506"/>
      <c r="E892" s="1393"/>
      <c r="F892" s="1393"/>
      <c r="G892" s="1393"/>
      <c r="H892" s="1507"/>
      <c r="I892" s="1508"/>
      <c r="J892" s="1508"/>
      <c r="K892" s="1509"/>
      <c r="L892" s="1509"/>
      <c r="M892" s="1509"/>
      <c r="N892" s="1509"/>
      <c r="O892" s="1509"/>
      <c r="P892" s="1509"/>
      <c r="Q892" s="1314"/>
      <c r="R892" s="1314"/>
      <c r="S892" s="1314"/>
      <c r="T892" s="1314"/>
      <c r="U892" s="1314"/>
      <c r="V892" s="1314"/>
      <c r="W892" s="1314"/>
      <c r="X892" s="1314"/>
      <c r="Y892" s="1314"/>
      <c r="Z892" s="1314"/>
    </row>
    <row r="893" spans="1:26" ht="18.75">
      <c r="A893" s="1393"/>
      <c r="B893" s="1393"/>
      <c r="C893" s="1393"/>
      <c r="D893" s="1506"/>
      <c r="E893" s="1393"/>
      <c r="F893" s="1393"/>
      <c r="G893" s="1393"/>
      <c r="H893" s="1507"/>
      <c r="I893" s="1508"/>
      <c r="J893" s="1508"/>
      <c r="K893" s="1509"/>
      <c r="L893" s="1509"/>
      <c r="M893" s="1509"/>
      <c r="N893" s="1509"/>
      <c r="O893" s="1509"/>
      <c r="P893" s="1509"/>
      <c r="Q893" s="1314"/>
      <c r="R893" s="1314"/>
      <c r="S893" s="1314"/>
      <c r="T893" s="1314"/>
      <c r="U893" s="1314"/>
      <c r="V893" s="1314"/>
      <c r="W893" s="1314"/>
      <c r="X893" s="1314"/>
      <c r="Y893" s="1314"/>
      <c r="Z893" s="1314"/>
    </row>
    <row r="894" spans="1:26" ht="18.75">
      <c r="A894" s="1393"/>
      <c r="B894" s="1393"/>
      <c r="C894" s="1393"/>
      <c r="D894" s="1506"/>
      <c r="E894" s="1393"/>
      <c r="F894" s="1393"/>
      <c r="G894" s="1393"/>
      <c r="H894" s="1507"/>
      <c r="I894" s="1508"/>
      <c r="J894" s="1508"/>
      <c r="K894" s="1509"/>
      <c r="L894" s="1509"/>
      <c r="M894" s="1509"/>
      <c r="N894" s="1509"/>
      <c r="O894" s="1509"/>
      <c r="P894" s="1509"/>
      <c r="Q894" s="1314"/>
      <c r="R894" s="1314"/>
      <c r="S894" s="1314"/>
      <c r="T894" s="1314"/>
      <c r="U894" s="1314"/>
      <c r="V894" s="1314"/>
      <c r="W894" s="1314"/>
      <c r="X894" s="1314"/>
      <c r="Y894" s="1314"/>
      <c r="Z894" s="1314"/>
    </row>
    <row r="895" spans="1:26" ht="18.75">
      <c r="A895" s="1393"/>
      <c r="B895" s="1393"/>
      <c r="C895" s="1393"/>
      <c r="D895" s="1506"/>
      <c r="E895" s="1393"/>
      <c r="F895" s="1393"/>
      <c r="G895" s="1393"/>
      <c r="H895" s="1507"/>
      <c r="I895" s="1508"/>
      <c r="J895" s="1508"/>
      <c r="K895" s="1509"/>
      <c r="L895" s="1509"/>
      <c r="M895" s="1509"/>
      <c r="N895" s="1509"/>
      <c r="O895" s="1509"/>
      <c r="P895" s="1509"/>
      <c r="Q895" s="1314"/>
      <c r="R895" s="1314"/>
      <c r="S895" s="1314"/>
      <c r="T895" s="1314"/>
      <c r="U895" s="1314"/>
      <c r="V895" s="1314"/>
      <c r="W895" s="1314"/>
      <c r="X895" s="1314"/>
      <c r="Y895" s="1314"/>
      <c r="Z895" s="1314"/>
    </row>
    <row r="896" spans="1:26" ht="18.75">
      <c r="A896" s="1393"/>
      <c r="B896" s="1393"/>
      <c r="C896" s="1393"/>
      <c r="D896" s="1506"/>
      <c r="E896" s="1393"/>
      <c r="F896" s="1393"/>
      <c r="G896" s="1393"/>
      <c r="H896" s="1507"/>
      <c r="I896" s="1508"/>
      <c r="J896" s="1508"/>
      <c r="K896" s="1509"/>
      <c r="L896" s="1509"/>
      <c r="M896" s="1509"/>
      <c r="N896" s="1509"/>
      <c r="O896" s="1509"/>
      <c r="P896" s="1509"/>
      <c r="Q896" s="1314"/>
      <c r="R896" s="1314"/>
      <c r="S896" s="1314"/>
      <c r="T896" s="1314"/>
      <c r="U896" s="1314"/>
      <c r="V896" s="1314"/>
      <c r="W896" s="1314"/>
      <c r="X896" s="1314"/>
      <c r="Y896" s="1314"/>
      <c r="Z896" s="1314"/>
    </row>
    <row r="897" spans="1:26" ht="18.75">
      <c r="A897" s="1393"/>
      <c r="B897" s="1393"/>
      <c r="C897" s="1393"/>
      <c r="D897" s="1506"/>
      <c r="E897" s="1393"/>
      <c r="F897" s="1393"/>
      <c r="G897" s="1393"/>
      <c r="H897" s="1507"/>
      <c r="I897" s="1508"/>
      <c r="J897" s="1508"/>
      <c r="K897" s="1509"/>
      <c r="L897" s="1509"/>
      <c r="M897" s="1509"/>
      <c r="N897" s="1509"/>
      <c r="O897" s="1509"/>
      <c r="P897" s="1509"/>
      <c r="Q897" s="1314"/>
      <c r="R897" s="1314"/>
      <c r="S897" s="1314"/>
      <c r="T897" s="1314"/>
      <c r="U897" s="1314"/>
      <c r="V897" s="1314"/>
      <c r="W897" s="1314"/>
      <c r="X897" s="1314"/>
      <c r="Y897" s="1314"/>
      <c r="Z897" s="1314"/>
    </row>
    <row r="898" spans="1:26" ht="18.75">
      <c r="A898" s="1393"/>
      <c r="B898" s="1393"/>
      <c r="C898" s="1393"/>
      <c r="D898" s="1506"/>
      <c r="E898" s="1393"/>
      <c r="F898" s="1393"/>
      <c r="G898" s="1393"/>
      <c r="H898" s="1507"/>
      <c r="I898" s="1508"/>
      <c r="J898" s="1508"/>
      <c r="K898" s="1509"/>
      <c r="L898" s="1509"/>
      <c r="M898" s="1509"/>
      <c r="N898" s="1509"/>
      <c r="O898" s="1509"/>
      <c r="P898" s="1509"/>
      <c r="Q898" s="1314"/>
      <c r="R898" s="1314"/>
      <c r="S898" s="1314"/>
      <c r="T898" s="1314"/>
      <c r="U898" s="1314"/>
      <c r="V898" s="1314"/>
      <c r="W898" s="1314"/>
      <c r="X898" s="1314"/>
      <c r="Y898" s="1314"/>
      <c r="Z898" s="1314"/>
    </row>
    <row r="899" spans="1:26" ht="18.75">
      <c r="A899" s="1393"/>
      <c r="B899" s="1393"/>
      <c r="C899" s="1393"/>
      <c r="D899" s="1506"/>
      <c r="E899" s="1393"/>
      <c r="F899" s="1393"/>
      <c r="G899" s="1393"/>
      <c r="H899" s="1507"/>
      <c r="I899" s="1508"/>
      <c r="J899" s="1508"/>
      <c r="K899" s="1509"/>
      <c r="L899" s="1509"/>
      <c r="M899" s="1509"/>
      <c r="N899" s="1509"/>
      <c r="O899" s="1509"/>
      <c r="P899" s="1509"/>
      <c r="Q899" s="1314"/>
      <c r="R899" s="1314"/>
      <c r="S899" s="1314"/>
      <c r="T899" s="1314"/>
      <c r="U899" s="1314"/>
      <c r="V899" s="1314"/>
      <c r="W899" s="1314"/>
      <c r="X899" s="1314"/>
      <c r="Y899" s="1314"/>
      <c r="Z899" s="1314"/>
    </row>
    <row r="900" spans="1:26" ht="18.75">
      <c r="A900" s="1393"/>
      <c r="B900" s="1393"/>
      <c r="C900" s="1393"/>
      <c r="D900" s="1506"/>
      <c r="E900" s="1393"/>
      <c r="F900" s="1393"/>
      <c r="G900" s="1393"/>
      <c r="H900" s="1507"/>
      <c r="I900" s="1508"/>
      <c r="J900" s="1508"/>
      <c r="K900" s="1509"/>
      <c r="L900" s="1509"/>
      <c r="M900" s="1509"/>
      <c r="N900" s="1509"/>
      <c r="O900" s="1509"/>
      <c r="P900" s="1509"/>
      <c r="Q900" s="1314"/>
      <c r="R900" s="1314"/>
      <c r="S900" s="1314"/>
      <c r="T900" s="1314"/>
      <c r="U900" s="1314"/>
      <c r="V900" s="1314"/>
      <c r="W900" s="1314"/>
      <c r="X900" s="1314"/>
      <c r="Y900" s="1314"/>
      <c r="Z900" s="1314"/>
    </row>
    <row r="901" spans="1:26" ht="18.75">
      <c r="A901" s="1393"/>
      <c r="B901" s="1393"/>
      <c r="C901" s="1393"/>
      <c r="D901" s="1506"/>
      <c r="E901" s="1393"/>
      <c r="F901" s="1393"/>
      <c r="G901" s="1393"/>
      <c r="H901" s="1507"/>
      <c r="I901" s="1508"/>
      <c r="J901" s="1508"/>
      <c r="K901" s="1509"/>
      <c r="L901" s="1509"/>
      <c r="M901" s="1509"/>
      <c r="N901" s="1509"/>
      <c r="O901" s="1509"/>
      <c r="P901" s="1509"/>
      <c r="Q901" s="1314"/>
      <c r="R901" s="1314"/>
      <c r="S901" s="1314"/>
      <c r="T901" s="1314"/>
      <c r="U901" s="1314"/>
      <c r="V901" s="1314"/>
      <c r="W901" s="1314"/>
      <c r="X901" s="1314"/>
      <c r="Y901" s="1314"/>
      <c r="Z901" s="1314"/>
    </row>
    <row r="902" spans="1:26" ht="18.75">
      <c r="A902" s="1393"/>
      <c r="B902" s="1393"/>
      <c r="C902" s="1393"/>
      <c r="D902" s="1506"/>
      <c r="E902" s="1393"/>
      <c r="F902" s="1393"/>
      <c r="G902" s="1393"/>
      <c r="H902" s="1507"/>
      <c r="I902" s="1508"/>
      <c r="J902" s="1508"/>
      <c r="K902" s="1509"/>
      <c r="L902" s="1509"/>
      <c r="M902" s="1509"/>
      <c r="N902" s="1509"/>
      <c r="O902" s="1509"/>
      <c r="P902" s="1509"/>
      <c r="Q902" s="1314"/>
      <c r="R902" s="1314"/>
      <c r="S902" s="1314"/>
      <c r="T902" s="1314"/>
      <c r="U902" s="1314"/>
      <c r="V902" s="1314"/>
      <c r="W902" s="1314"/>
      <c r="X902" s="1314"/>
      <c r="Y902" s="1314"/>
      <c r="Z902" s="1314"/>
    </row>
    <row r="903" spans="1:26" ht="18.75">
      <c r="A903" s="1393"/>
      <c r="B903" s="1393"/>
      <c r="C903" s="1393"/>
      <c r="D903" s="1506"/>
      <c r="E903" s="1393"/>
      <c r="F903" s="1393"/>
      <c r="G903" s="1393"/>
      <c r="H903" s="1507"/>
      <c r="I903" s="1508"/>
      <c r="J903" s="1508"/>
      <c r="K903" s="1509"/>
      <c r="L903" s="1509"/>
      <c r="M903" s="1509"/>
      <c r="N903" s="1509"/>
      <c r="O903" s="1509"/>
      <c r="P903" s="1509"/>
      <c r="Q903" s="1314"/>
      <c r="R903" s="1314"/>
      <c r="S903" s="1314"/>
      <c r="T903" s="1314"/>
      <c r="U903" s="1314"/>
      <c r="V903" s="1314"/>
      <c r="W903" s="1314"/>
      <c r="X903" s="1314"/>
      <c r="Y903" s="1314"/>
      <c r="Z903" s="1314"/>
    </row>
    <row r="904" spans="1:26" ht="18.75">
      <c r="A904" s="1393"/>
      <c r="B904" s="1393"/>
      <c r="C904" s="1393"/>
      <c r="D904" s="1506"/>
      <c r="E904" s="1393"/>
      <c r="F904" s="1393"/>
      <c r="G904" s="1393"/>
      <c r="H904" s="1507"/>
      <c r="I904" s="1508"/>
      <c r="J904" s="1508"/>
      <c r="K904" s="1509"/>
      <c r="L904" s="1509"/>
      <c r="M904" s="1509"/>
      <c r="N904" s="1509"/>
      <c r="O904" s="1509"/>
      <c r="P904" s="1509"/>
      <c r="Q904" s="1314"/>
      <c r="R904" s="1314"/>
      <c r="S904" s="1314"/>
      <c r="T904" s="1314"/>
      <c r="U904" s="1314"/>
      <c r="V904" s="1314"/>
      <c r="W904" s="1314"/>
      <c r="X904" s="1314"/>
      <c r="Y904" s="1314"/>
      <c r="Z904" s="1314"/>
    </row>
    <row r="905" spans="1:26" ht="18.75">
      <c r="A905" s="1393"/>
      <c r="B905" s="1393"/>
      <c r="C905" s="1393"/>
      <c r="D905" s="1506"/>
      <c r="E905" s="1393"/>
      <c r="F905" s="1393"/>
      <c r="G905" s="1393"/>
      <c r="H905" s="1507"/>
      <c r="I905" s="1508"/>
      <c r="J905" s="1508"/>
      <c r="K905" s="1509"/>
      <c r="L905" s="1509"/>
      <c r="M905" s="1509"/>
      <c r="N905" s="1509"/>
      <c r="O905" s="1509"/>
      <c r="P905" s="1509"/>
      <c r="Q905" s="1314"/>
      <c r="R905" s="1314"/>
      <c r="S905" s="1314"/>
      <c r="T905" s="1314"/>
      <c r="U905" s="1314"/>
      <c r="V905" s="1314"/>
      <c r="W905" s="1314"/>
      <c r="X905" s="1314"/>
      <c r="Y905" s="1314"/>
      <c r="Z905" s="1314"/>
    </row>
    <row r="906" spans="1:26" ht="18.75">
      <c r="A906" s="1393"/>
      <c r="B906" s="1393"/>
      <c r="C906" s="1393"/>
      <c r="D906" s="1506"/>
      <c r="E906" s="1393"/>
      <c r="F906" s="1393"/>
      <c r="G906" s="1393"/>
      <c r="H906" s="1507"/>
      <c r="I906" s="1508"/>
      <c r="J906" s="1508"/>
      <c r="K906" s="1509"/>
      <c r="L906" s="1509"/>
      <c r="M906" s="1509"/>
      <c r="N906" s="1509"/>
      <c r="O906" s="1509"/>
      <c r="P906" s="1509"/>
      <c r="Q906" s="1314"/>
      <c r="R906" s="1314"/>
      <c r="S906" s="1314"/>
      <c r="T906" s="1314"/>
      <c r="U906" s="1314"/>
      <c r="V906" s="1314"/>
      <c r="W906" s="1314"/>
      <c r="X906" s="1314"/>
      <c r="Y906" s="1314"/>
      <c r="Z906" s="1314"/>
    </row>
    <row r="907" spans="1:26" ht="18.75">
      <c r="A907" s="1393"/>
      <c r="B907" s="1393"/>
      <c r="C907" s="1393"/>
      <c r="D907" s="1506"/>
      <c r="E907" s="1393"/>
      <c r="F907" s="1393"/>
      <c r="G907" s="1393"/>
      <c r="H907" s="1507"/>
      <c r="I907" s="1508"/>
      <c r="J907" s="1508"/>
      <c r="K907" s="1509"/>
      <c r="L907" s="1509"/>
      <c r="M907" s="1509"/>
      <c r="N907" s="1509"/>
      <c r="O907" s="1509"/>
      <c r="P907" s="1509"/>
      <c r="Q907" s="1314"/>
      <c r="R907" s="1314"/>
      <c r="S907" s="1314"/>
      <c r="T907" s="1314"/>
      <c r="U907" s="1314"/>
      <c r="V907" s="1314"/>
      <c r="W907" s="1314"/>
      <c r="X907" s="1314"/>
      <c r="Y907" s="1314"/>
      <c r="Z907" s="1314"/>
    </row>
    <row r="908" spans="1:26" ht="18.75">
      <c r="A908" s="1393"/>
      <c r="B908" s="1393"/>
      <c r="C908" s="1393"/>
      <c r="D908" s="1506"/>
      <c r="E908" s="1393"/>
      <c r="F908" s="1393"/>
      <c r="G908" s="1393"/>
      <c r="H908" s="1507"/>
      <c r="I908" s="1508"/>
      <c r="J908" s="1508"/>
      <c r="K908" s="1509"/>
      <c r="L908" s="1509"/>
      <c r="M908" s="1509"/>
      <c r="N908" s="1509"/>
      <c r="O908" s="1509"/>
      <c r="P908" s="1509"/>
      <c r="Q908" s="1314"/>
      <c r="R908" s="1314"/>
      <c r="S908" s="1314"/>
      <c r="T908" s="1314"/>
      <c r="U908" s="1314"/>
      <c r="V908" s="1314"/>
      <c r="W908" s="1314"/>
      <c r="X908" s="1314"/>
      <c r="Y908" s="1314"/>
      <c r="Z908" s="1314"/>
    </row>
    <row r="909" spans="1:26" ht="18.75">
      <c r="A909" s="1393"/>
      <c r="B909" s="1393"/>
      <c r="C909" s="1393"/>
      <c r="D909" s="1506"/>
      <c r="E909" s="1393"/>
      <c r="F909" s="1393"/>
      <c r="G909" s="1393"/>
      <c r="H909" s="1507"/>
      <c r="I909" s="1508"/>
      <c r="J909" s="1508"/>
      <c r="K909" s="1509"/>
      <c r="L909" s="1509"/>
      <c r="M909" s="1509"/>
      <c r="N909" s="1509"/>
      <c r="O909" s="1509"/>
      <c r="P909" s="1509"/>
      <c r="Q909" s="1314"/>
      <c r="R909" s="1314"/>
      <c r="S909" s="1314"/>
      <c r="T909" s="1314"/>
      <c r="U909" s="1314"/>
      <c r="V909" s="1314"/>
      <c r="W909" s="1314"/>
      <c r="X909" s="1314"/>
      <c r="Y909" s="1314"/>
      <c r="Z909" s="1314"/>
    </row>
    <row r="910" spans="1:26" ht="18.75">
      <c r="A910" s="1393"/>
      <c r="B910" s="1393"/>
      <c r="C910" s="1393"/>
      <c r="D910" s="1506"/>
      <c r="E910" s="1393"/>
      <c r="F910" s="1393"/>
      <c r="G910" s="1393"/>
      <c r="H910" s="1507"/>
      <c r="I910" s="1508"/>
      <c r="J910" s="1508"/>
      <c r="K910" s="1509"/>
      <c r="L910" s="1509"/>
      <c r="M910" s="1509"/>
      <c r="N910" s="1509"/>
      <c r="O910" s="1509"/>
      <c r="P910" s="1509"/>
      <c r="Q910" s="1314"/>
      <c r="R910" s="1314"/>
      <c r="S910" s="1314"/>
      <c r="T910" s="1314"/>
      <c r="U910" s="1314"/>
      <c r="V910" s="1314"/>
      <c r="W910" s="1314"/>
      <c r="X910" s="1314"/>
      <c r="Y910" s="1314"/>
      <c r="Z910" s="1314"/>
    </row>
    <row r="911" spans="1:26" ht="18.75">
      <c r="A911" s="1393"/>
      <c r="B911" s="1393"/>
      <c r="C911" s="1393"/>
      <c r="D911" s="1506"/>
      <c r="E911" s="1393"/>
      <c r="F911" s="1393"/>
      <c r="G911" s="1393"/>
      <c r="H911" s="1507"/>
      <c r="I911" s="1508"/>
      <c r="J911" s="1508"/>
      <c r="K911" s="1509"/>
      <c r="L911" s="1509"/>
      <c r="M911" s="1509"/>
      <c r="N911" s="1509"/>
      <c r="O911" s="1509"/>
      <c r="P911" s="1509"/>
      <c r="Q911" s="1314"/>
      <c r="R911" s="1314"/>
      <c r="S911" s="1314"/>
      <c r="T911" s="1314"/>
      <c r="U911" s="1314"/>
      <c r="V911" s="1314"/>
      <c r="W911" s="1314"/>
      <c r="X911" s="1314"/>
      <c r="Y911" s="1314"/>
      <c r="Z911" s="1314"/>
    </row>
    <row r="912" spans="1:26" ht="18.75">
      <c r="A912" s="1393"/>
      <c r="B912" s="1393"/>
      <c r="C912" s="1393"/>
      <c r="D912" s="1506"/>
      <c r="E912" s="1393"/>
      <c r="F912" s="1393"/>
      <c r="G912" s="1393"/>
      <c r="H912" s="1507"/>
      <c r="I912" s="1508"/>
      <c r="J912" s="1508"/>
      <c r="K912" s="1509"/>
      <c r="L912" s="1509"/>
      <c r="M912" s="1509"/>
      <c r="N912" s="1509"/>
      <c r="O912" s="1509"/>
      <c r="P912" s="1509"/>
      <c r="Q912" s="1314"/>
      <c r="R912" s="1314"/>
      <c r="S912" s="1314"/>
      <c r="T912" s="1314"/>
      <c r="U912" s="1314"/>
      <c r="V912" s="1314"/>
      <c r="W912" s="1314"/>
      <c r="X912" s="1314"/>
      <c r="Y912" s="1314"/>
      <c r="Z912" s="1314"/>
    </row>
    <row r="913" spans="1:26" ht="18.75">
      <c r="A913" s="1393"/>
      <c r="B913" s="1393"/>
      <c r="C913" s="1393"/>
      <c r="D913" s="1506"/>
      <c r="E913" s="1393"/>
      <c r="F913" s="1393"/>
      <c r="G913" s="1393"/>
      <c r="H913" s="1507"/>
      <c r="I913" s="1508"/>
      <c r="J913" s="1508"/>
      <c r="K913" s="1509"/>
      <c r="L913" s="1509"/>
      <c r="M913" s="1509"/>
      <c r="N913" s="1509"/>
      <c r="O913" s="1509"/>
      <c r="P913" s="1509"/>
      <c r="Q913" s="1314"/>
      <c r="R913" s="1314"/>
      <c r="S913" s="1314"/>
      <c r="T913" s="1314"/>
      <c r="U913" s="1314"/>
      <c r="V913" s="1314"/>
      <c r="W913" s="1314"/>
      <c r="X913" s="1314"/>
      <c r="Y913" s="1314"/>
      <c r="Z913" s="1314"/>
    </row>
    <row r="914" spans="1:26" ht="18.75">
      <c r="A914" s="1393"/>
      <c r="B914" s="1393"/>
      <c r="C914" s="1393"/>
      <c r="D914" s="1506"/>
      <c r="E914" s="1393"/>
      <c r="F914" s="1393"/>
      <c r="G914" s="1393"/>
      <c r="H914" s="1507"/>
      <c r="I914" s="1508"/>
      <c r="J914" s="1508"/>
      <c r="K914" s="1509"/>
      <c r="L914" s="1509"/>
      <c r="M914" s="1509"/>
      <c r="N914" s="1509"/>
      <c r="O914" s="1509"/>
      <c r="P914" s="1509"/>
      <c r="Q914" s="1314"/>
      <c r="R914" s="1314"/>
      <c r="S914" s="1314"/>
      <c r="T914" s="1314"/>
      <c r="U914" s="1314"/>
      <c r="V914" s="1314"/>
      <c r="W914" s="1314"/>
      <c r="X914" s="1314"/>
      <c r="Y914" s="1314"/>
      <c r="Z914" s="1314"/>
    </row>
    <row r="915" spans="1:26" ht="18.75">
      <c r="A915" s="1393"/>
      <c r="B915" s="1393"/>
      <c r="C915" s="1393"/>
      <c r="D915" s="1506"/>
      <c r="E915" s="1393"/>
      <c r="F915" s="1393"/>
      <c r="G915" s="1393"/>
      <c r="H915" s="1507"/>
      <c r="I915" s="1508"/>
      <c r="J915" s="1508"/>
      <c r="K915" s="1509"/>
      <c r="L915" s="1509"/>
      <c r="M915" s="1509"/>
      <c r="N915" s="1509"/>
      <c r="O915" s="1509"/>
      <c r="P915" s="1509"/>
      <c r="Q915" s="1314"/>
      <c r="R915" s="1314"/>
      <c r="S915" s="1314"/>
      <c r="T915" s="1314"/>
      <c r="U915" s="1314"/>
      <c r="V915" s="1314"/>
      <c r="W915" s="1314"/>
      <c r="X915" s="1314"/>
      <c r="Y915" s="1314"/>
      <c r="Z915" s="1314"/>
    </row>
    <row r="916" spans="1:26" ht="18.75">
      <c r="A916" s="1393"/>
      <c r="B916" s="1393"/>
      <c r="C916" s="1393"/>
      <c r="D916" s="1506"/>
      <c r="E916" s="1393"/>
      <c r="F916" s="1393"/>
      <c r="G916" s="1393"/>
      <c r="H916" s="1507"/>
      <c r="I916" s="1508"/>
      <c r="J916" s="1508"/>
      <c r="K916" s="1509"/>
      <c r="L916" s="1509"/>
      <c r="M916" s="1509"/>
      <c r="N916" s="1509"/>
      <c r="O916" s="1509"/>
      <c r="P916" s="1509"/>
      <c r="Q916" s="1314"/>
      <c r="R916" s="1314"/>
      <c r="S916" s="1314"/>
      <c r="T916" s="1314"/>
      <c r="U916" s="1314"/>
      <c r="V916" s="1314"/>
      <c r="W916" s="1314"/>
      <c r="X916" s="1314"/>
      <c r="Y916" s="1314"/>
      <c r="Z916" s="1314"/>
    </row>
    <row r="917" spans="1:26" ht="18.75">
      <c r="A917" s="1393"/>
      <c r="B917" s="1393"/>
      <c r="C917" s="1393"/>
      <c r="D917" s="1506"/>
      <c r="E917" s="1393"/>
      <c r="F917" s="1393"/>
      <c r="G917" s="1393"/>
      <c r="H917" s="1507"/>
      <c r="I917" s="1508"/>
      <c r="J917" s="1508"/>
      <c r="K917" s="1509"/>
      <c r="L917" s="1509"/>
      <c r="M917" s="1509"/>
      <c r="N917" s="1509"/>
      <c r="O917" s="1509"/>
      <c r="P917" s="1509"/>
      <c r="Q917" s="1314"/>
      <c r="R917" s="1314"/>
      <c r="S917" s="1314"/>
      <c r="T917" s="1314"/>
      <c r="U917" s="1314"/>
      <c r="V917" s="1314"/>
      <c r="W917" s="1314"/>
      <c r="X917" s="1314"/>
      <c r="Y917" s="1314"/>
      <c r="Z917" s="1314"/>
    </row>
    <row r="918" spans="1:26" ht="18.75">
      <c r="A918" s="1393"/>
      <c r="B918" s="1393"/>
      <c r="C918" s="1393"/>
      <c r="D918" s="1506"/>
      <c r="E918" s="1393"/>
      <c r="F918" s="1393"/>
      <c r="G918" s="1393"/>
      <c r="H918" s="1507"/>
      <c r="I918" s="1508"/>
      <c r="J918" s="1508"/>
      <c r="K918" s="1509"/>
      <c r="L918" s="1509"/>
      <c r="M918" s="1509"/>
      <c r="N918" s="1509"/>
      <c r="O918" s="1509"/>
      <c r="P918" s="1509"/>
      <c r="Q918" s="1314"/>
      <c r="R918" s="1314"/>
      <c r="S918" s="1314"/>
      <c r="T918" s="1314"/>
      <c r="U918" s="1314"/>
      <c r="V918" s="1314"/>
      <c r="W918" s="1314"/>
      <c r="X918" s="1314"/>
      <c r="Y918" s="1314"/>
      <c r="Z918" s="1314"/>
    </row>
    <row r="919" spans="1:26" ht="18.75">
      <c r="A919" s="1393"/>
      <c r="B919" s="1393"/>
      <c r="C919" s="1393"/>
      <c r="D919" s="1506"/>
      <c r="E919" s="1393"/>
      <c r="F919" s="1393"/>
      <c r="G919" s="1393"/>
      <c r="H919" s="1507"/>
      <c r="I919" s="1508"/>
      <c r="J919" s="1508"/>
      <c r="K919" s="1509"/>
      <c r="L919" s="1509"/>
      <c r="M919" s="1509"/>
      <c r="N919" s="1509"/>
      <c r="O919" s="1509"/>
      <c r="P919" s="1509"/>
      <c r="Q919" s="1314"/>
      <c r="R919" s="1314"/>
      <c r="S919" s="1314"/>
      <c r="T919" s="1314"/>
      <c r="U919" s="1314"/>
      <c r="V919" s="1314"/>
      <c r="W919" s="1314"/>
      <c r="X919" s="1314"/>
      <c r="Y919" s="1314"/>
      <c r="Z919" s="1314"/>
    </row>
    <row r="920" spans="1:26" ht="18.75">
      <c r="A920" s="1393"/>
      <c r="B920" s="1393"/>
      <c r="C920" s="1393"/>
      <c r="D920" s="1506"/>
      <c r="E920" s="1393"/>
      <c r="F920" s="1393"/>
      <c r="G920" s="1393"/>
      <c r="H920" s="1507"/>
      <c r="I920" s="1508"/>
      <c r="J920" s="1508"/>
      <c r="K920" s="1509"/>
      <c r="L920" s="1509"/>
      <c r="M920" s="1509"/>
      <c r="N920" s="1509"/>
      <c r="O920" s="1509"/>
      <c r="P920" s="1509"/>
      <c r="Q920" s="1314"/>
      <c r="R920" s="1314"/>
      <c r="S920" s="1314"/>
      <c r="T920" s="1314"/>
      <c r="U920" s="1314"/>
      <c r="V920" s="1314"/>
      <c r="W920" s="1314"/>
      <c r="X920" s="1314"/>
      <c r="Y920" s="1314"/>
      <c r="Z920" s="1314"/>
    </row>
    <row r="921" spans="1:26" ht="18.75">
      <c r="A921" s="1393"/>
      <c r="B921" s="1393"/>
      <c r="C921" s="1393"/>
      <c r="D921" s="1506"/>
      <c r="E921" s="1393"/>
      <c r="F921" s="1393"/>
      <c r="G921" s="1393"/>
      <c r="H921" s="1507"/>
      <c r="I921" s="1508"/>
      <c r="J921" s="1508"/>
      <c r="K921" s="1509"/>
      <c r="L921" s="1509"/>
      <c r="M921" s="1509"/>
      <c r="N921" s="1509"/>
      <c r="O921" s="1509"/>
      <c r="P921" s="1509"/>
      <c r="Q921" s="1314"/>
      <c r="R921" s="1314"/>
      <c r="S921" s="1314"/>
      <c r="T921" s="1314"/>
      <c r="U921" s="1314"/>
      <c r="V921" s="1314"/>
      <c r="W921" s="1314"/>
      <c r="X921" s="1314"/>
      <c r="Y921" s="1314"/>
      <c r="Z921" s="1314"/>
    </row>
    <row r="922" spans="1:26" ht="18.75">
      <c r="A922" s="1393"/>
      <c r="B922" s="1393"/>
      <c r="C922" s="1393"/>
      <c r="D922" s="1506"/>
      <c r="E922" s="1393"/>
      <c r="F922" s="1393"/>
      <c r="G922" s="1393"/>
      <c r="H922" s="1507"/>
      <c r="I922" s="1508"/>
      <c r="J922" s="1508"/>
      <c r="K922" s="1509"/>
      <c r="L922" s="1509"/>
      <c r="M922" s="1509"/>
      <c r="N922" s="1509"/>
      <c r="O922" s="1509"/>
      <c r="P922" s="1509"/>
      <c r="Q922" s="1314"/>
      <c r="R922" s="1314"/>
      <c r="S922" s="1314"/>
      <c r="T922" s="1314"/>
      <c r="U922" s="1314"/>
      <c r="V922" s="1314"/>
      <c r="W922" s="1314"/>
      <c r="X922" s="1314"/>
      <c r="Y922" s="1314"/>
      <c r="Z922" s="1314"/>
    </row>
    <row r="923" spans="1:26" ht="18.75">
      <c r="A923" s="1393"/>
      <c r="B923" s="1393"/>
      <c r="C923" s="1393"/>
      <c r="D923" s="1506"/>
      <c r="E923" s="1393"/>
      <c r="F923" s="1393"/>
      <c r="G923" s="1393"/>
      <c r="H923" s="1507"/>
      <c r="I923" s="1508"/>
      <c r="J923" s="1508"/>
      <c r="K923" s="1509"/>
      <c r="L923" s="1509"/>
      <c r="M923" s="1509"/>
      <c r="N923" s="1509"/>
      <c r="O923" s="1509"/>
      <c r="P923" s="1509"/>
      <c r="Q923" s="1314"/>
      <c r="R923" s="1314"/>
      <c r="S923" s="1314"/>
      <c r="T923" s="1314"/>
      <c r="U923" s="1314"/>
      <c r="V923" s="1314"/>
      <c r="W923" s="1314"/>
      <c r="X923" s="1314"/>
      <c r="Y923" s="1314"/>
      <c r="Z923" s="1314"/>
    </row>
    <row r="924" spans="1:26" ht="18.75">
      <c r="A924" s="1393"/>
      <c r="B924" s="1393"/>
      <c r="C924" s="1393"/>
      <c r="D924" s="1506"/>
      <c r="E924" s="1393"/>
      <c r="F924" s="1393"/>
      <c r="G924" s="1393"/>
      <c r="H924" s="1507"/>
      <c r="I924" s="1508"/>
      <c r="J924" s="1508"/>
      <c r="K924" s="1509"/>
      <c r="L924" s="1509"/>
      <c r="M924" s="1509"/>
      <c r="N924" s="1509"/>
      <c r="O924" s="1509"/>
      <c r="P924" s="1509"/>
      <c r="Q924" s="1314"/>
      <c r="R924" s="1314"/>
      <c r="S924" s="1314"/>
      <c r="T924" s="1314"/>
      <c r="U924" s="1314"/>
      <c r="V924" s="1314"/>
      <c r="W924" s="1314"/>
      <c r="X924" s="1314"/>
      <c r="Y924" s="1314"/>
      <c r="Z924" s="1314"/>
    </row>
    <row r="925" spans="1:26" ht="18.75">
      <c r="A925" s="1393"/>
      <c r="B925" s="1393"/>
      <c r="C925" s="1393"/>
      <c r="D925" s="1506"/>
      <c r="E925" s="1393"/>
      <c r="F925" s="1393"/>
      <c r="G925" s="1393"/>
      <c r="H925" s="1507"/>
      <c r="I925" s="1508"/>
      <c r="J925" s="1508"/>
      <c r="K925" s="1509"/>
      <c r="L925" s="1509"/>
      <c r="M925" s="1509"/>
      <c r="N925" s="1509"/>
      <c r="O925" s="1509"/>
      <c r="P925" s="1509"/>
      <c r="Q925" s="1314"/>
      <c r="R925" s="1314"/>
      <c r="S925" s="1314"/>
      <c r="T925" s="1314"/>
      <c r="U925" s="1314"/>
      <c r="V925" s="1314"/>
      <c r="W925" s="1314"/>
      <c r="X925" s="1314"/>
      <c r="Y925" s="1314"/>
      <c r="Z925" s="1314"/>
    </row>
    <row r="926" spans="1:26" ht="18.75">
      <c r="A926" s="1393"/>
      <c r="B926" s="1393"/>
      <c r="C926" s="1393"/>
      <c r="D926" s="1506"/>
      <c r="E926" s="1393"/>
      <c r="F926" s="1393"/>
      <c r="G926" s="1393"/>
      <c r="H926" s="1507"/>
      <c r="I926" s="1508"/>
      <c r="J926" s="1508"/>
      <c r="K926" s="1509"/>
      <c r="L926" s="1509"/>
      <c r="M926" s="1509"/>
      <c r="N926" s="1509"/>
      <c r="O926" s="1509"/>
      <c r="P926" s="1509"/>
      <c r="Q926" s="1314"/>
      <c r="R926" s="1314"/>
      <c r="S926" s="1314"/>
      <c r="T926" s="1314"/>
      <c r="U926" s="1314"/>
      <c r="V926" s="1314"/>
      <c r="W926" s="1314"/>
      <c r="X926" s="1314"/>
      <c r="Y926" s="1314"/>
      <c r="Z926" s="1314"/>
    </row>
    <row r="927" spans="1:26" ht="18.75">
      <c r="A927" s="1393"/>
      <c r="B927" s="1393"/>
      <c r="C927" s="1393"/>
      <c r="D927" s="1506"/>
      <c r="E927" s="1393"/>
      <c r="F927" s="1393"/>
      <c r="G927" s="1393"/>
      <c r="H927" s="1507"/>
      <c r="I927" s="1508"/>
      <c r="J927" s="1508"/>
      <c r="K927" s="1509"/>
      <c r="L927" s="1509"/>
      <c r="M927" s="1509"/>
      <c r="N927" s="1509"/>
      <c r="O927" s="1509"/>
      <c r="P927" s="1509"/>
      <c r="Q927" s="1314"/>
      <c r="R927" s="1314"/>
      <c r="S927" s="1314"/>
      <c r="T927" s="1314"/>
      <c r="U927" s="1314"/>
      <c r="V927" s="1314"/>
      <c r="W927" s="1314"/>
      <c r="X927" s="1314"/>
      <c r="Y927" s="1314"/>
      <c r="Z927" s="1314"/>
    </row>
    <row r="928" spans="1:26" ht="18.75">
      <c r="A928" s="1393"/>
      <c r="B928" s="1393"/>
      <c r="C928" s="1393"/>
      <c r="D928" s="1506"/>
      <c r="E928" s="1393"/>
      <c r="F928" s="1393"/>
      <c r="G928" s="1393"/>
      <c r="H928" s="1507"/>
      <c r="I928" s="1508"/>
      <c r="J928" s="1508"/>
      <c r="K928" s="1509"/>
      <c r="L928" s="1509"/>
      <c r="M928" s="1509"/>
      <c r="N928" s="1509"/>
      <c r="O928" s="1509"/>
      <c r="P928" s="1509"/>
      <c r="Q928" s="1314"/>
      <c r="R928" s="1314"/>
      <c r="S928" s="1314"/>
      <c r="T928" s="1314"/>
      <c r="U928" s="1314"/>
      <c r="V928" s="1314"/>
      <c r="W928" s="1314"/>
      <c r="X928" s="1314"/>
      <c r="Y928" s="1314"/>
      <c r="Z928" s="1314"/>
    </row>
    <row r="929" spans="1:26" ht="18.75">
      <c r="A929" s="1393"/>
      <c r="B929" s="1393"/>
      <c r="C929" s="1393"/>
      <c r="D929" s="1506"/>
      <c r="E929" s="1393"/>
      <c r="F929" s="1393"/>
      <c r="G929" s="1393"/>
      <c r="H929" s="1507"/>
      <c r="I929" s="1508"/>
      <c r="J929" s="1508"/>
      <c r="K929" s="1509"/>
      <c r="L929" s="1509"/>
      <c r="M929" s="1509"/>
      <c r="N929" s="1509"/>
      <c r="O929" s="1509"/>
      <c r="P929" s="1509"/>
      <c r="Q929" s="1314"/>
      <c r="R929" s="1314"/>
      <c r="S929" s="1314"/>
      <c r="T929" s="1314"/>
      <c r="U929" s="1314"/>
      <c r="V929" s="1314"/>
      <c r="W929" s="1314"/>
      <c r="X929" s="1314"/>
      <c r="Y929" s="1314"/>
      <c r="Z929" s="1314"/>
    </row>
    <row r="930" spans="1:26" ht="18.75">
      <c r="A930" s="1393"/>
      <c r="B930" s="1393"/>
      <c r="C930" s="1393"/>
      <c r="D930" s="1506"/>
      <c r="E930" s="1393"/>
      <c r="F930" s="1393"/>
      <c r="G930" s="1393"/>
      <c r="H930" s="1507"/>
      <c r="I930" s="1508"/>
      <c r="J930" s="1508"/>
      <c r="K930" s="1509"/>
      <c r="L930" s="1509"/>
      <c r="M930" s="1509"/>
      <c r="N930" s="1509"/>
      <c r="O930" s="1509"/>
      <c r="P930" s="1509"/>
      <c r="Q930" s="1314"/>
      <c r="R930" s="1314"/>
      <c r="S930" s="1314"/>
      <c r="T930" s="1314"/>
      <c r="U930" s="1314"/>
      <c r="V930" s="1314"/>
      <c r="W930" s="1314"/>
      <c r="X930" s="1314"/>
      <c r="Y930" s="1314"/>
      <c r="Z930" s="1314"/>
    </row>
    <row r="931" spans="1:26" ht="18.75">
      <c r="A931" s="1393"/>
      <c r="B931" s="1393"/>
      <c r="C931" s="1393"/>
      <c r="D931" s="1506"/>
      <c r="E931" s="1393"/>
      <c r="F931" s="1393"/>
      <c r="G931" s="1393"/>
      <c r="H931" s="1507"/>
      <c r="I931" s="1508"/>
      <c r="J931" s="1508"/>
      <c r="K931" s="1509"/>
      <c r="L931" s="1509"/>
      <c r="M931" s="1509"/>
      <c r="N931" s="1509"/>
      <c r="O931" s="1509"/>
      <c r="P931" s="1509"/>
      <c r="Q931" s="1314"/>
      <c r="R931" s="1314"/>
      <c r="S931" s="1314"/>
      <c r="T931" s="1314"/>
      <c r="U931" s="1314"/>
      <c r="V931" s="1314"/>
      <c r="W931" s="1314"/>
      <c r="X931" s="1314"/>
      <c r="Y931" s="1314"/>
      <c r="Z931" s="1314"/>
    </row>
    <row r="932" spans="1:26" ht="18.75">
      <c r="A932" s="1393"/>
      <c r="B932" s="1393"/>
      <c r="C932" s="1393"/>
      <c r="D932" s="1506"/>
      <c r="E932" s="1393"/>
      <c r="F932" s="1393"/>
      <c r="G932" s="1393"/>
      <c r="H932" s="1507"/>
      <c r="I932" s="1508"/>
      <c r="J932" s="1508"/>
      <c r="K932" s="1509"/>
      <c r="L932" s="1509"/>
      <c r="M932" s="1509"/>
      <c r="N932" s="1509"/>
      <c r="O932" s="1509"/>
      <c r="P932" s="1509"/>
      <c r="Q932" s="1314"/>
      <c r="R932" s="1314"/>
      <c r="S932" s="1314"/>
      <c r="T932" s="1314"/>
      <c r="U932" s="1314"/>
      <c r="V932" s="1314"/>
      <c r="W932" s="1314"/>
      <c r="X932" s="1314"/>
      <c r="Y932" s="1314"/>
      <c r="Z932" s="1314"/>
    </row>
    <row r="933" spans="1:26" ht="18.75">
      <c r="A933" s="1393"/>
      <c r="B933" s="1393"/>
      <c r="C933" s="1393"/>
      <c r="D933" s="1506"/>
      <c r="E933" s="1393"/>
      <c r="F933" s="1393"/>
      <c r="G933" s="1393"/>
      <c r="H933" s="1507"/>
      <c r="I933" s="1508"/>
      <c r="J933" s="1508"/>
      <c r="K933" s="1509"/>
      <c r="L933" s="1509"/>
      <c r="M933" s="1509"/>
      <c r="N933" s="1509"/>
      <c r="O933" s="1509"/>
      <c r="P933" s="1509"/>
      <c r="Q933" s="1314"/>
      <c r="R933" s="1314"/>
      <c r="S933" s="1314"/>
      <c r="T933" s="1314"/>
      <c r="U933" s="1314"/>
      <c r="V933" s="1314"/>
      <c r="W933" s="1314"/>
      <c r="X933" s="1314"/>
      <c r="Y933" s="1314"/>
      <c r="Z933" s="1314"/>
    </row>
    <row r="934" spans="1:26" ht="18.75">
      <c r="A934" s="1393"/>
      <c r="B934" s="1393"/>
      <c r="C934" s="1393"/>
      <c r="D934" s="1506"/>
      <c r="E934" s="1393"/>
      <c r="F934" s="1393"/>
      <c r="G934" s="1393"/>
      <c r="H934" s="1507"/>
      <c r="I934" s="1508"/>
      <c r="J934" s="1508"/>
      <c r="K934" s="1509"/>
      <c r="L934" s="1509"/>
      <c r="M934" s="1509"/>
      <c r="N934" s="1509"/>
      <c r="O934" s="1509"/>
      <c r="P934" s="1509"/>
      <c r="Q934" s="1314"/>
      <c r="R934" s="1314"/>
      <c r="S934" s="1314"/>
      <c r="T934" s="1314"/>
      <c r="U934" s="1314"/>
      <c r="V934" s="1314"/>
      <c r="W934" s="1314"/>
      <c r="X934" s="1314"/>
      <c r="Y934" s="1314"/>
      <c r="Z934" s="1314"/>
    </row>
    <row r="935" spans="1:26" ht="18.75">
      <c r="A935" s="1393"/>
      <c r="B935" s="1393"/>
      <c r="C935" s="1393"/>
      <c r="D935" s="1506"/>
      <c r="E935" s="1393"/>
      <c r="F935" s="1393"/>
      <c r="G935" s="1393"/>
      <c r="H935" s="1507"/>
      <c r="I935" s="1508"/>
      <c r="J935" s="1508"/>
      <c r="K935" s="1509"/>
      <c r="L935" s="1509"/>
      <c r="M935" s="1509"/>
      <c r="N935" s="1509"/>
      <c r="O935" s="1509"/>
      <c r="P935" s="1509"/>
      <c r="Q935" s="1314"/>
      <c r="R935" s="1314"/>
      <c r="S935" s="1314"/>
      <c r="T935" s="1314"/>
      <c r="U935" s="1314"/>
      <c r="V935" s="1314"/>
      <c r="W935" s="1314"/>
      <c r="X935" s="1314"/>
      <c r="Y935" s="1314"/>
      <c r="Z935" s="1314"/>
    </row>
    <row r="936" spans="1:26" ht="18.75">
      <c r="A936" s="1393"/>
      <c r="B936" s="1393"/>
      <c r="C936" s="1393"/>
      <c r="D936" s="1506"/>
      <c r="E936" s="1393"/>
      <c r="F936" s="1393"/>
      <c r="G936" s="1393"/>
      <c r="H936" s="1507"/>
      <c r="I936" s="1508"/>
      <c r="J936" s="1508"/>
      <c r="K936" s="1509"/>
      <c r="L936" s="1509"/>
      <c r="M936" s="1509"/>
      <c r="N936" s="1509"/>
      <c r="O936" s="1509"/>
      <c r="P936" s="1509"/>
      <c r="Q936" s="1314"/>
      <c r="R936" s="1314"/>
      <c r="S936" s="1314"/>
      <c r="T936" s="1314"/>
      <c r="U936" s="1314"/>
      <c r="V936" s="1314"/>
      <c r="W936" s="1314"/>
      <c r="X936" s="1314"/>
      <c r="Y936" s="1314"/>
      <c r="Z936" s="1314"/>
    </row>
    <row r="937" spans="1:26" ht="18.75">
      <c r="A937" s="1393"/>
      <c r="B937" s="1393"/>
      <c r="C937" s="1393"/>
      <c r="D937" s="1506"/>
      <c r="E937" s="1393"/>
      <c r="F937" s="1393"/>
      <c r="G937" s="1393"/>
      <c r="H937" s="1507"/>
      <c r="I937" s="1508"/>
      <c r="J937" s="1508"/>
      <c r="K937" s="1509"/>
      <c r="L937" s="1509"/>
      <c r="M937" s="1509"/>
      <c r="N937" s="1509"/>
      <c r="O937" s="1509"/>
      <c r="P937" s="1509"/>
      <c r="Q937" s="1314"/>
      <c r="R937" s="1314"/>
      <c r="S937" s="1314"/>
      <c r="T937" s="1314"/>
      <c r="U937" s="1314"/>
      <c r="V937" s="1314"/>
      <c r="W937" s="1314"/>
      <c r="X937" s="1314"/>
      <c r="Y937" s="1314"/>
      <c r="Z937" s="1314"/>
    </row>
    <row r="938" spans="1:26" ht="18.75">
      <c r="A938" s="1393"/>
      <c r="B938" s="1393"/>
      <c r="C938" s="1393"/>
      <c r="D938" s="1506"/>
      <c r="E938" s="1393"/>
      <c r="F938" s="1393"/>
      <c r="G938" s="1393"/>
      <c r="H938" s="1507"/>
      <c r="I938" s="1508"/>
      <c r="J938" s="1508"/>
      <c r="K938" s="1509"/>
      <c r="L938" s="1509"/>
      <c r="M938" s="1509"/>
      <c r="N938" s="1509"/>
      <c r="O938" s="1509"/>
      <c r="P938" s="1509"/>
      <c r="Q938" s="1314"/>
      <c r="R938" s="1314"/>
      <c r="S938" s="1314"/>
      <c r="T938" s="1314"/>
      <c r="U938" s="1314"/>
      <c r="V938" s="1314"/>
      <c r="W938" s="1314"/>
      <c r="X938" s="1314"/>
      <c r="Y938" s="1314"/>
      <c r="Z938" s="1314"/>
    </row>
    <row r="939" spans="1:26" ht="18.75">
      <c r="A939" s="1393"/>
      <c r="B939" s="1393"/>
      <c r="C939" s="1393"/>
      <c r="D939" s="1506"/>
      <c r="E939" s="1393"/>
      <c r="F939" s="1393"/>
      <c r="G939" s="1393"/>
      <c r="H939" s="1507"/>
      <c r="I939" s="1508"/>
      <c r="J939" s="1508"/>
      <c r="K939" s="1509"/>
      <c r="L939" s="1509"/>
      <c r="M939" s="1509"/>
      <c r="N939" s="1509"/>
      <c r="O939" s="1509"/>
      <c r="P939" s="1509"/>
      <c r="Q939" s="1314"/>
      <c r="R939" s="1314"/>
      <c r="S939" s="1314"/>
      <c r="T939" s="1314"/>
      <c r="U939" s="1314"/>
      <c r="V939" s="1314"/>
      <c r="W939" s="1314"/>
      <c r="X939" s="1314"/>
      <c r="Y939" s="1314"/>
      <c r="Z939" s="1314"/>
    </row>
    <row r="940" spans="1:26" ht="18.75">
      <c r="A940" s="1393"/>
      <c r="B940" s="1393"/>
      <c r="C940" s="1393"/>
      <c r="D940" s="1506"/>
      <c r="E940" s="1393"/>
      <c r="F940" s="1393"/>
      <c r="G940" s="1393"/>
      <c r="H940" s="1507"/>
      <c r="I940" s="1508"/>
      <c r="J940" s="1508"/>
      <c r="K940" s="1509"/>
      <c r="L940" s="1509"/>
      <c r="M940" s="1509"/>
      <c r="N940" s="1509"/>
      <c r="O940" s="1509"/>
      <c r="P940" s="1509"/>
      <c r="Q940" s="1314"/>
      <c r="R940" s="1314"/>
      <c r="S940" s="1314"/>
      <c r="T940" s="1314"/>
      <c r="U940" s="1314"/>
      <c r="V940" s="1314"/>
      <c r="W940" s="1314"/>
      <c r="X940" s="1314"/>
      <c r="Y940" s="1314"/>
      <c r="Z940" s="1314"/>
    </row>
    <row r="941" spans="1:26" ht="18.75">
      <c r="A941" s="1393"/>
      <c r="B941" s="1393"/>
      <c r="C941" s="1393"/>
      <c r="D941" s="1506"/>
      <c r="E941" s="1393"/>
      <c r="F941" s="1393"/>
      <c r="G941" s="1393"/>
      <c r="H941" s="1507"/>
      <c r="I941" s="1508"/>
      <c r="J941" s="1508"/>
      <c r="K941" s="1509"/>
      <c r="L941" s="1509"/>
      <c r="M941" s="1509"/>
      <c r="N941" s="1509"/>
      <c r="O941" s="1509"/>
      <c r="P941" s="1509"/>
      <c r="Q941" s="1314"/>
      <c r="R941" s="1314"/>
      <c r="S941" s="1314"/>
      <c r="T941" s="1314"/>
      <c r="U941" s="1314"/>
      <c r="V941" s="1314"/>
      <c r="W941" s="1314"/>
      <c r="X941" s="1314"/>
      <c r="Y941" s="1314"/>
      <c r="Z941" s="1314"/>
    </row>
    <row r="942" spans="1:26" ht="18.75">
      <c r="A942" s="1393"/>
      <c r="B942" s="1393"/>
      <c r="C942" s="1393"/>
      <c r="D942" s="1506"/>
      <c r="E942" s="1393"/>
      <c r="F942" s="1393"/>
      <c r="G942" s="1393"/>
      <c r="H942" s="1507"/>
      <c r="I942" s="1508"/>
      <c r="J942" s="1508"/>
      <c r="K942" s="1509"/>
      <c r="L942" s="1509"/>
      <c r="M942" s="1509"/>
      <c r="N942" s="1509"/>
      <c r="O942" s="1509"/>
      <c r="P942" s="1509"/>
      <c r="Q942" s="1314"/>
      <c r="R942" s="1314"/>
      <c r="S942" s="1314"/>
      <c r="T942" s="1314"/>
      <c r="U942" s="1314"/>
      <c r="V942" s="1314"/>
      <c r="W942" s="1314"/>
      <c r="X942" s="1314"/>
      <c r="Y942" s="1314"/>
      <c r="Z942" s="1314"/>
    </row>
    <row r="943" spans="1:26" ht="18.75">
      <c r="A943" s="1393"/>
      <c r="B943" s="1393"/>
      <c r="C943" s="1393"/>
      <c r="D943" s="1506"/>
      <c r="E943" s="1393"/>
      <c r="F943" s="1393"/>
      <c r="G943" s="1393"/>
      <c r="H943" s="1507"/>
      <c r="I943" s="1508"/>
      <c r="J943" s="1508"/>
      <c r="K943" s="1509"/>
      <c r="L943" s="1509"/>
      <c r="M943" s="1509"/>
      <c r="N943" s="1509"/>
      <c r="O943" s="1509"/>
      <c r="P943" s="1509"/>
      <c r="Q943" s="1314"/>
      <c r="R943" s="1314"/>
      <c r="S943" s="1314"/>
      <c r="T943" s="1314"/>
      <c r="U943" s="1314"/>
      <c r="V943" s="1314"/>
      <c r="W943" s="1314"/>
      <c r="X943" s="1314"/>
      <c r="Y943" s="1314"/>
      <c r="Z943" s="1314"/>
    </row>
    <row r="944" spans="1:26" ht="18.75">
      <c r="A944" s="1393"/>
      <c r="B944" s="1393"/>
      <c r="C944" s="1393"/>
      <c r="D944" s="1506"/>
      <c r="E944" s="1393"/>
      <c r="F944" s="1393"/>
      <c r="G944" s="1393"/>
      <c r="H944" s="1507"/>
      <c r="I944" s="1508"/>
      <c r="J944" s="1508"/>
      <c r="K944" s="1509"/>
      <c r="L944" s="1509"/>
      <c r="M944" s="1509"/>
      <c r="N944" s="1509"/>
      <c r="O944" s="1509"/>
      <c r="P944" s="1509"/>
      <c r="Q944" s="1314"/>
      <c r="R944" s="1314"/>
      <c r="S944" s="1314"/>
      <c r="T944" s="1314"/>
      <c r="U944" s="1314"/>
      <c r="V944" s="1314"/>
      <c r="W944" s="1314"/>
      <c r="X944" s="1314"/>
      <c r="Y944" s="1314"/>
      <c r="Z944" s="1314"/>
    </row>
    <row r="945" spans="1:26" ht="18.75">
      <c r="A945" s="1393"/>
      <c r="B945" s="1393"/>
      <c r="C945" s="1393"/>
      <c r="D945" s="1506"/>
      <c r="E945" s="1393"/>
      <c r="F945" s="1393"/>
      <c r="G945" s="1393"/>
      <c r="H945" s="1507"/>
      <c r="I945" s="1508"/>
      <c r="J945" s="1508"/>
      <c r="K945" s="1509"/>
      <c r="L945" s="1509"/>
      <c r="M945" s="1509"/>
      <c r="N945" s="1509"/>
      <c r="O945" s="1509"/>
      <c r="P945" s="1509"/>
      <c r="Q945" s="1314"/>
      <c r="R945" s="1314"/>
      <c r="S945" s="1314"/>
      <c r="T945" s="1314"/>
      <c r="U945" s="1314"/>
      <c r="V945" s="1314"/>
      <c r="W945" s="1314"/>
      <c r="X945" s="1314"/>
      <c r="Y945" s="1314"/>
      <c r="Z945" s="1314"/>
    </row>
    <row r="946" spans="1:26" ht="18.75">
      <c r="A946" s="1393"/>
      <c r="B946" s="1393"/>
      <c r="C946" s="1393"/>
      <c r="D946" s="1506"/>
      <c r="E946" s="1393"/>
      <c r="F946" s="1393"/>
      <c r="G946" s="1393"/>
      <c r="H946" s="1507"/>
      <c r="I946" s="1508"/>
      <c r="J946" s="1508"/>
      <c r="K946" s="1509"/>
      <c r="L946" s="1509"/>
      <c r="M946" s="1509"/>
      <c r="N946" s="1509"/>
      <c r="O946" s="1509"/>
      <c r="P946" s="1509"/>
      <c r="Q946" s="1314"/>
      <c r="R946" s="1314"/>
      <c r="S946" s="1314"/>
      <c r="T946" s="1314"/>
      <c r="U946" s="1314"/>
      <c r="V946" s="1314"/>
      <c r="W946" s="1314"/>
      <c r="X946" s="1314"/>
      <c r="Y946" s="1314"/>
      <c r="Z946" s="1314"/>
    </row>
    <row r="947" spans="1:26" ht="18.75">
      <c r="A947" s="1393"/>
      <c r="B947" s="1393"/>
      <c r="C947" s="1393"/>
      <c r="D947" s="1506"/>
      <c r="E947" s="1393"/>
      <c r="F947" s="1393"/>
      <c r="G947" s="1393"/>
      <c r="H947" s="1507"/>
      <c r="I947" s="1508"/>
      <c r="J947" s="1508"/>
      <c r="K947" s="1509"/>
      <c r="L947" s="1509"/>
      <c r="M947" s="1509"/>
      <c r="N947" s="1509"/>
      <c r="O947" s="1509"/>
      <c r="P947" s="1509"/>
      <c r="Q947" s="1314"/>
      <c r="R947" s="1314"/>
      <c r="S947" s="1314"/>
      <c r="T947" s="1314"/>
      <c r="U947" s="1314"/>
      <c r="V947" s="1314"/>
      <c r="W947" s="1314"/>
      <c r="X947" s="1314"/>
      <c r="Y947" s="1314"/>
      <c r="Z947" s="1314"/>
    </row>
    <row r="948" spans="1:26" ht="18.75">
      <c r="A948" s="1393"/>
      <c r="B948" s="1393"/>
      <c r="C948" s="1393"/>
      <c r="D948" s="1506"/>
      <c r="E948" s="1393"/>
      <c r="F948" s="1393"/>
      <c r="G948" s="1393"/>
      <c r="H948" s="1507"/>
      <c r="I948" s="1508"/>
      <c r="J948" s="1508"/>
      <c r="K948" s="1509"/>
      <c r="L948" s="1509"/>
      <c r="M948" s="1509"/>
      <c r="N948" s="1509"/>
      <c r="O948" s="1509"/>
      <c r="P948" s="1509"/>
      <c r="Q948" s="1314"/>
      <c r="R948" s="1314"/>
      <c r="S948" s="1314"/>
      <c r="T948" s="1314"/>
      <c r="U948" s="1314"/>
      <c r="V948" s="1314"/>
      <c r="W948" s="1314"/>
      <c r="X948" s="1314"/>
      <c r="Y948" s="1314"/>
      <c r="Z948" s="1314"/>
    </row>
    <row r="949" spans="1:26" ht="18.75">
      <c r="A949" s="1393"/>
      <c r="B949" s="1393"/>
      <c r="C949" s="1393"/>
      <c r="D949" s="1506"/>
      <c r="E949" s="1393"/>
      <c r="F949" s="1393"/>
      <c r="G949" s="1393"/>
      <c r="H949" s="1507"/>
      <c r="I949" s="1508"/>
      <c r="J949" s="1508"/>
      <c r="K949" s="1509"/>
      <c r="L949" s="1509"/>
      <c r="M949" s="1509"/>
      <c r="N949" s="1509"/>
      <c r="O949" s="1509"/>
      <c r="P949" s="1509"/>
      <c r="Q949" s="1314"/>
      <c r="R949" s="1314"/>
      <c r="S949" s="1314"/>
      <c r="T949" s="1314"/>
      <c r="U949" s="1314"/>
      <c r="V949" s="1314"/>
      <c r="W949" s="1314"/>
      <c r="X949" s="1314"/>
      <c r="Y949" s="1314"/>
      <c r="Z949" s="1314"/>
    </row>
    <row r="950" spans="1:26" ht="18.75">
      <c r="A950" s="1393"/>
      <c r="B950" s="1393"/>
      <c r="C950" s="1393"/>
      <c r="D950" s="1506"/>
      <c r="E950" s="1393"/>
      <c r="F950" s="1393"/>
      <c r="G950" s="1393"/>
      <c r="H950" s="1507"/>
      <c r="I950" s="1508"/>
      <c r="J950" s="1508"/>
      <c r="K950" s="1509"/>
      <c r="L950" s="1509"/>
      <c r="M950" s="1509"/>
      <c r="N950" s="1509"/>
      <c r="O950" s="1509"/>
      <c r="P950" s="1509"/>
      <c r="Q950" s="1314"/>
      <c r="R950" s="1314"/>
      <c r="S950" s="1314"/>
      <c r="T950" s="1314"/>
      <c r="U950" s="1314"/>
      <c r="V950" s="1314"/>
      <c r="W950" s="1314"/>
      <c r="X950" s="1314"/>
      <c r="Y950" s="1314"/>
      <c r="Z950" s="1314"/>
    </row>
    <row r="951" spans="1:26" ht="18.75">
      <c r="A951" s="1393"/>
      <c r="B951" s="1393"/>
      <c r="C951" s="1393"/>
      <c r="D951" s="1506"/>
      <c r="E951" s="1393"/>
      <c r="F951" s="1393"/>
      <c r="G951" s="1393"/>
      <c r="H951" s="1507"/>
      <c r="I951" s="1508"/>
      <c r="J951" s="1508"/>
      <c r="K951" s="1509"/>
      <c r="L951" s="1509"/>
      <c r="M951" s="1509"/>
      <c r="N951" s="1509"/>
      <c r="O951" s="1509"/>
      <c r="P951" s="1509"/>
      <c r="Q951" s="1314"/>
      <c r="R951" s="1314"/>
      <c r="S951" s="1314"/>
      <c r="T951" s="1314"/>
      <c r="U951" s="1314"/>
      <c r="V951" s="1314"/>
      <c r="W951" s="1314"/>
      <c r="X951" s="1314"/>
      <c r="Y951" s="1314"/>
      <c r="Z951" s="1314"/>
    </row>
    <row r="952" spans="1:26" ht="18.75">
      <c r="A952" s="1393"/>
      <c r="B952" s="1393"/>
      <c r="C952" s="1393"/>
      <c r="D952" s="1506"/>
      <c r="E952" s="1393"/>
      <c r="F952" s="1393"/>
      <c r="G952" s="1393"/>
      <c r="H952" s="1507"/>
      <c r="I952" s="1508"/>
      <c r="J952" s="1508"/>
      <c r="K952" s="1509"/>
      <c r="L952" s="1509"/>
      <c r="M952" s="1509"/>
      <c r="N952" s="1509"/>
      <c r="O952" s="1509"/>
      <c r="P952" s="1509"/>
      <c r="Q952" s="1314"/>
      <c r="R952" s="1314"/>
      <c r="S952" s="1314"/>
      <c r="T952" s="1314"/>
      <c r="U952" s="1314"/>
      <c r="V952" s="1314"/>
      <c r="W952" s="1314"/>
      <c r="X952" s="1314"/>
      <c r="Y952" s="1314"/>
      <c r="Z952" s="1314"/>
    </row>
    <row r="953" spans="1:26" ht="18.75">
      <c r="A953" s="1393"/>
      <c r="B953" s="1393"/>
      <c r="C953" s="1393"/>
      <c r="D953" s="1506"/>
      <c r="E953" s="1393"/>
      <c r="F953" s="1393"/>
      <c r="G953" s="1393"/>
      <c r="H953" s="1507"/>
      <c r="I953" s="1508"/>
      <c r="J953" s="1508"/>
      <c r="K953" s="1509"/>
      <c r="L953" s="1509"/>
      <c r="M953" s="1509"/>
      <c r="N953" s="1509"/>
      <c r="O953" s="1509"/>
      <c r="P953" s="1509"/>
      <c r="Q953" s="1314"/>
      <c r="R953" s="1314"/>
      <c r="S953" s="1314"/>
      <c r="T953" s="1314"/>
      <c r="U953" s="1314"/>
      <c r="V953" s="1314"/>
      <c r="W953" s="1314"/>
      <c r="X953" s="1314"/>
      <c r="Y953" s="1314"/>
      <c r="Z953" s="1314"/>
    </row>
    <row r="954" spans="1:26" ht="18.75">
      <c r="A954" s="1393"/>
      <c r="B954" s="1393"/>
      <c r="C954" s="1393"/>
      <c r="D954" s="1506"/>
      <c r="E954" s="1393"/>
      <c r="F954" s="1393"/>
      <c r="G954" s="1393"/>
      <c r="H954" s="1507"/>
      <c r="I954" s="1508"/>
      <c r="J954" s="1508"/>
      <c r="K954" s="1509"/>
      <c r="L954" s="1509"/>
      <c r="M954" s="1509"/>
      <c r="N954" s="1509"/>
      <c r="O954" s="1509"/>
      <c r="P954" s="1509"/>
      <c r="Q954" s="1314"/>
      <c r="R954" s="1314"/>
      <c r="S954" s="1314"/>
      <c r="T954" s="1314"/>
      <c r="U954" s="1314"/>
      <c r="V954" s="1314"/>
      <c r="W954" s="1314"/>
      <c r="X954" s="1314"/>
      <c r="Y954" s="1314"/>
      <c r="Z954" s="1314"/>
    </row>
    <row r="955" spans="1:26" ht="18.75">
      <c r="A955" s="1393"/>
      <c r="B955" s="1393"/>
      <c r="C955" s="1393"/>
      <c r="D955" s="1506"/>
      <c r="E955" s="1393"/>
      <c r="F955" s="1393"/>
      <c r="G955" s="1393"/>
      <c r="H955" s="1507"/>
      <c r="I955" s="1508"/>
      <c r="J955" s="1508"/>
      <c r="K955" s="1509"/>
      <c r="L955" s="1509"/>
      <c r="M955" s="1509"/>
      <c r="N955" s="1509"/>
      <c r="O955" s="1509"/>
      <c r="P955" s="1509"/>
      <c r="Q955" s="1314"/>
      <c r="R955" s="1314"/>
      <c r="S955" s="1314"/>
      <c r="T955" s="1314"/>
      <c r="U955" s="1314"/>
      <c r="V955" s="1314"/>
      <c r="W955" s="1314"/>
      <c r="X955" s="1314"/>
      <c r="Y955" s="1314"/>
      <c r="Z955" s="1314"/>
    </row>
    <row r="956" spans="1:26" ht="18.75">
      <c r="A956" s="1393"/>
      <c r="B956" s="1393"/>
      <c r="C956" s="1393"/>
      <c r="D956" s="1506"/>
      <c r="E956" s="1393"/>
      <c r="F956" s="1393"/>
      <c r="G956" s="1393"/>
      <c r="H956" s="1507"/>
      <c r="I956" s="1508"/>
      <c r="J956" s="1508"/>
      <c r="K956" s="1509"/>
      <c r="L956" s="1509"/>
      <c r="M956" s="1509"/>
      <c r="N956" s="1509"/>
      <c r="O956" s="1509"/>
      <c r="P956" s="1509"/>
      <c r="Q956" s="1314"/>
      <c r="R956" s="1314"/>
      <c r="S956" s="1314"/>
      <c r="T956" s="1314"/>
      <c r="U956" s="1314"/>
      <c r="V956" s="1314"/>
      <c r="W956" s="1314"/>
      <c r="X956" s="1314"/>
      <c r="Y956" s="1314"/>
      <c r="Z956" s="1314"/>
    </row>
    <row r="957" spans="1:26" ht="18.75">
      <c r="A957" s="1393"/>
      <c r="B957" s="1393"/>
      <c r="C957" s="1393"/>
      <c r="D957" s="1506"/>
      <c r="E957" s="1393"/>
      <c r="F957" s="1393"/>
      <c r="G957" s="1393"/>
      <c r="H957" s="1507"/>
      <c r="I957" s="1508"/>
      <c r="J957" s="1508"/>
      <c r="K957" s="1509"/>
      <c r="L957" s="1509"/>
      <c r="M957" s="1509"/>
      <c r="N957" s="1509"/>
      <c r="O957" s="1509"/>
      <c r="P957" s="1509"/>
      <c r="Q957" s="1314"/>
      <c r="R957" s="1314"/>
      <c r="S957" s="1314"/>
      <c r="T957" s="1314"/>
      <c r="U957" s="1314"/>
      <c r="V957" s="1314"/>
      <c r="W957" s="1314"/>
      <c r="X957" s="1314"/>
      <c r="Y957" s="1314"/>
      <c r="Z957" s="1314"/>
    </row>
    <row r="958" spans="1:26" ht="18.75">
      <c r="A958" s="1393"/>
      <c r="B958" s="1393"/>
      <c r="C958" s="1393"/>
      <c r="D958" s="1506"/>
      <c r="E958" s="1393"/>
      <c r="F958" s="1393"/>
      <c r="G958" s="1393"/>
      <c r="H958" s="1507"/>
      <c r="I958" s="1508"/>
      <c r="J958" s="1508"/>
      <c r="K958" s="1509"/>
      <c r="L958" s="1509"/>
      <c r="M958" s="1509"/>
      <c r="N958" s="1509"/>
      <c r="O958" s="1509"/>
      <c r="P958" s="1509"/>
      <c r="Q958" s="1314"/>
      <c r="R958" s="1314"/>
      <c r="S958" s="1314"/>
      <c r="T958" s="1314"/>
      <c r="U958" s="1314"/>
      <c r="V958" s="1314"/>
      <c r="W958" s="1314"/>
      <c r="X958" s="1314"/>
      <c r="Y958" s="1314"/>
      <c r="Z958" s="1314"/>
    </row>
    <row r="959" spans="1:26" ht="18.75">
      <c r="A959" s="1393"/>
      <c r="B959" s="1393"/>
      <c r="C959" s="1393"/>
      <c r="D959" s="1506"/>
      <c r="E959" s="1393"/>
      <c r="F959" s="1393"/>
      <c r="G959" s="1393"/>
      <c r="H959" s="1507"/>
      <c r="I959" s="1508"/>
      <c r="J959" s="1508"/>
      <c r="K959" s="1509"/>
      <c r="L959" s="1509"/>
      <c r="M959" s="1509"/>
      <c r="N959" s="1509"/>
      <c r="O959" s="1509"/>
      <c r="P959" s="1509"/>
      <c r="Q959" s="1314"/>
      <c r="R959" s="1314"/>
      <c r="S959" s="1314"/>
      <c r="T959" s="1314"/>
      <c r="U959" s="1314"/>
      <c r="V959" s="1314"/>
      <c r="W959" s="1314"/>
      <c r="X959" s="1314"/>
      <c r="Y959" s="1314"/>
      <c r="Z959" s="1314"/>
    </row>
    <row r="960" spans="1:26" ht="18.75">
      <c r="A960" s="1393"/>
      <c r="B960" s="1393"/>
      <c r="C960" s="1393"/>
      <c r="D960" s="1506"/>
      <c r="E960" s="1393"/>
      <c r="F960" s="1393"/>
      <c r="G960" s="1393"/>
      <c r="H960" s="1507"/>
      <c r="I960" s="1508"/>
      <c r="J960" s="1508"/>
      <c r="K960" s="1509"/>
      <c r="L960" s="1509"/>
      <c r="M960" s="1509"/>
      <c r="N960" s="1509"/>
      <c r="O960" s="1509"/>
      <c r="P960" s="1509"/>
      <c r="Q960" s="1314"/>
      <c r="R960" s="1314"/>
      <c r="S960" s="1314"/>
      <c r="T960" s="1314"/>
      <c r="U960" s="1314"/>
      <c r="V960" s="1314"/>
      <c r="W960" s="1314"/>
      <c r="X960" s="1314"/>
      <c r="Y960" s="1314"/>
      <c r="Z960" s="1314"/>
    </row>
    <row r="961" spans="1:26" ht="18.75">
      <c r="A961" s="1393"/>
      <c r="B961" s="1393"/>
      <c r="C961" s="1393"/>
      <c r="D961" s="1506"/>
      <c r="E961" s="1393"/>
      <c r="F961" s="1393"/>
      <c r="G961" s="1393"/>
      <c r="H961" s="1507"/>
      <c r="I961" s="1508"/>
      <c r="J961" s="1508"/>
      <c r="K961" s="1509"/>
      <c r="L961" s="1509"/>
      <c r="M961" s="1509"/>
      <c r="N961" s="1509"/>
      <c r="O961" s="1509"/>
      <c r="P961" s="1509"/>
      <c r="Q961" s="1314"/>
      <c r="R961" s="1314"/>
      <c r="S961" s="1314"/>
      <c r="T961" s="1314"/>
      <c r="U961" s="1314"/>
      <c r="V961" s="1314"/>
      <c r="W961" s="1314"/>
      <c r="X961" s="1314"/>
      <c r="Y961" s="1314"/>
      <c r="Z961" s="1314"/>
    </row>
    <row r="962" spans="1:26" ht="18.75">
      <c r="A962" s="1393"/>
      <c r="B962" s="1393"/>
      <c r="C962" s="1393"/>
      <c r="D962" s="1506"/>
      <c r="E962" s="1393"/>
      <c r="F962" s="1393"/>
      <c r="G962" s="1393"/>
      <c r="H962" s="1507"/>
      <c r="I962" s="1508"/>
      <c r="J962" s="1508"/>
      <c r="K962" s="1509"/>
      <c r="L962" s="1509"/>
      <c r="M962" s="1509"/>
      <c r="N962" s="1509"/>
      <c r="O962" s="1509"/>
      <c r="P962" s="1509"/>
      <c r="Q962" s="1314"/>
      <c r="R962" s="1314"/>
      <c r="S962" s="1314"/>
      <c r="T962" s="1314"/>
      <c r="U962" s="1314"/>
      <c r="V962" s="1314"/>
      <c r="W962" s="1314"/>
      <c r="X962" s="1314"/>
      <c r="Y962" s="1314"/>
      <c r="Z962" s="1314"/>
    </row>
    <row r="963" spans="1:26" ht="18.75">
      <c r="A963" s="1393"/>
      <c r="B963" s="1393"/>
      <c r="C963" s="1393"/>
      <c r="D963" s="1506"/>
      <c r="E963" s="1393"/>
      <c r="F963" s="1393"/>
      <c r="G963" s="1393"/>
      <c r="H963" s="1507"/>
      <c r="I963" s="1508"/>
      <c r="J963" s="1508"/>
      <c r="K963" s="1509"/>
      <c r="L963" s="1509"/>
      <c r="M963" s="1509"/>
      <c r="N963" s="1509"/>
      <c r="O963" s="1509"/>
      <c r="P963" s="1509"/>
      <c r="Q963" s="1314"/>
      <c r="R963" s="1314"/>
      <c r="S963" s="1314"/>
      <c r="T963" s="1314"/>
      <c r="U963" s="1314"/>
      <c r="V963" s="1314"/>
      <c r="W963" s="1314"/>
      <c r="X963" s="1314"/>
      <c r="Y963" s="1314"/>
      <c r="Z963" s="1314"/>
    </row>
    <row r="964" spans="1:26" ht="18.75">
      <c r="A964" s="1393"/>
      <c r="B964" s="1393"/>
      <c r="C964" s="1393"/>
      <c r="D964" s="1506"/>
      <c r="E964" s="1393"/>
      <c r="F964" s="1393"/>
      <c r="G964" s="1393"/>
      <c r="H964" s="1507"/>
      <c r="I964" s="1508"/>
      <c r="J964" s="1508"/>
      <c r="K964" s="1509"/>
      <c r="L964" s="1509"/>
      <c r="M964" s="1509"/>
      <c r="N964" s="1509"/>
      <c r="O964" s="1509"/>
      <c r="P964" s="1509"/>
      <c r="Q964" s="1314"/>
      <c r="R964" s="1314"/>
      <c r="S964" s="1314"/>
      <c r="T964" s="1314"/>
      <c r="U964" s="1314"/>
      <c r="V964" s="1314"/>
      <c r="W964" s="1314"/>
      <c r="X964" s="1314"/>
      <c r="Y964" s="1314"/>
      <c r="Z964" s="1314"/>
    </row>
    <row r="965" spans="1:26" ht="18.75">
      <c r="A965" s="1393"/>
      <c r="B965" s="1393"/>
      <c r="C965" s="1393"/>
      <c r="D965" s="1506"/>
      <c r="E965" s="1393"/>
      <c r="F965" s="1393"/>
      <c r="G965" s="1393"/>
      <c r="H965" s="1507"/>
      <c r="I965" s="1508"/>
      <c r="J965" s="1508"/>
      <c r="K965" s="1509"/>
      <c r="L965" s="1509"/>
      <c r="M965" s="1509"/>
      <c r="N965" s="1509"/>
      <c r="O965" s="1509"/>
      <c r="P965" s="1509"/>
      <c r="Q965" s="1314"/>
      <c r="R965" s="1314"/>
      <c r="S965" s="1314"/>
      <c r="T965" s="1314"/>
      <c r="U965" s="1314"/>
      <c r="V965" s="1314"/>
      <c r="W965" s="1314"/>
      <c r="X965" s="1314"/>
      <c r="Y965" s="1314"/>
      <c r="Z965" s="1314"/>
    </row>
    <row r="966" spans="1:26" ht="18.75">
      <c r="A966" s="1393"/>
      <c r="B966" s="1393"/>
      <c r="C966" s="1393"/>
      <c r="D966" s="1506"/>
      <c r="E966" s="1393"/>
      <c r="F966" s="1393"/>
      <c r="G966" s="1393"/>
      <c r="H966" s="1507"/>
      <c r="I966" s="1508"/>
      <c r="J966" s="1508"/>
      <c r="K966" s="1509"/>
      <c r="L966" s="1509"/>
      <c r="M966" s="1509"/>
      <c r="N966" s="1509"/>
      <c r="O966" s="1509"/>
      <c r="P966" s="1509"/>
      <c r="Q966" s="1314"/>
      <c r="R966" s="1314"/>
      <c r="S966" s="1314"/>
      <c r="T966" s="1314"/>
      <c r="U966" s="1314"/>
      <c r="V966" s="1314"/>
      <c r="W966" s="1314"/>
      <c r="X966" s="1314"/>
      <c r="Y966" s="1314"/>
      <c r="Z966" s="1314"/>
    </row>
    <row r="967" spans="1:26" ht="18.75">
      <c r="A967" s="1393"/>
      <c r="B967" s="1393"/>
      <c r="C967" s="1393"/>
      <c r="D967" s="1506"/>
      <c r="E967" s="1393"/>
      <c r="F967" s="1393"/>
      <c r="G967" s="1393"/>
      <c r="H967" s="1507"/>
      <c r="I967" s="1508"/>
      <c r="J967" s="1508"/>
      <c r="K967" s="1509"/>
      <c r="L967" s="1509"/>
      <c r="M967" s="1509"/>
      <c r="N967" s="1509"/>
      <c r="O967" s="1509"/>
      <c r="P967" s="1509"/>
      <c r="Q967" s="1314"/>
      <c r="R967" s="1314"/>
      <c r="S967" s="1314"/>
      <c r="T967" s="1314"/>
      <c r="U967" s="1314"/>
      <c r="V967" s="1314"/>
      <c r="W967" s="1314"/>
      <c r="X967" s="1314"/>
      <c r="Y967" s="1314"/>
      <c r="Z967" s="1314"/>
    </row>
    <row r="968" spans="1:26" ht="18.75">
      <c r="A968" s="1393"/>
      <c r="B968" s="1393"/>
      <c r="C968" s="1393"/>
      <c r="D968" s="1506"/>
      <c r="E968" s="1393"/>
      <c r="F968" s="1393"/>
      <c r="G968" s="1393"/>
      <c r="H968" s="1507"/>
      <c r="I968" s="1508"/>
      <c r="J968" s="1508"/>
      <c r="K968" s="1509"/>
      <c r="L968" s="1509"/>
      <c r="M968" s="1509"/>
      <c r="N968" s="1509"/>
      <c r="O968" s="1509"/>
      <c r="P968" s="1509"/>
      <c r="Q968" s="1314"/>
      <c r="R968" s="1314"/>
      <c r="S968" s="1314"/>
      <c r="T968" s="1314"/>
      <c r="U968" s="1314"/>
      <c r="V968" s="1314"/>
      <c r="W968" s="1314"/>
      <c r="X968" s="1314"/>
      <c r="Y968" s="1314"/>
      <c r="Z968" s="1314"/>
    </row>
    <row r="969" spans="1:26" ht="18.75">
      <c r="A969" s="1393"/>
      <c r="B969" s="1393"/>
      <c r="C969" s="1393"/>
      <c r="D969" s="1506"/>
      <c r="E969" s="1393"/>
      <c r="F969" s="1393"/>
      <c r="G969" s="1393"/>
      <c r="H969" s="1507"/>
      <c r="I969" s="1508"/>
      <c r="J969" s="1508"/>
      <c r="K969" s="1509"/>
      <c r="L969" s="1509"/>
      <c r="M969" s="1509"/>
      <c r="N969" s="1509"/>
      <c r="O969" s="1509"/>
      <c r="P969" s="1509"/>
      <c r="Q969" s="1314"/>
      <c r="R969" s="1314"/>
      <c r="S969" s="1314"/>
      <c r="T969" s="1314"/>
      <c r="U969" s="1314"/>
      <c r="V969" s="1314"/>
      <c r="W969" s="1314"/>
      <c r="X969" s="1314"/>
      <c r="Y969" s="1314"/>
      <c r="Z969" s="1314"/>
    </row>
    <row r="970" spans="1:26" ht="18.75">
      <c r="A970" s="1393"/>
      <c r="B970" s="1393"/>
      <c r="C970" s="1393"/>
      <c r="D970" s="1506"/>
      <c r="E970" s="1393"/>
      <c r="F970" s="1393"/>
      <c r="G970" s="1393"/>
      <c r="H970" s="1507"/>
      <c r="I970" s="1508"/>
      <c r="J970" s="1508"/>
      <c r="K970" s="1509"/>
      <c r="L970" s="1509"/>
      <c r="M970" s="1509"/>
      <c r="N970" s="1509"/>
      <c r="O970" s="1509"/>
      <c r="P970" s="1509"/>
      <c r="Q970" s="1314"/>
      <c r="R970" s="1314"/>
      <c r="S970" s="1314"/>
      <c r="T970" s="1314"/>
      <c r="U970" s="1314"/>
      <c r="V970" s="1314"/>
      <c r="W970" s="1314"/>
      <c r="X970" s="1314"/>
      <c r="Y970" s="1314"/>
      <c r="Z970" s="1314"/>
    </row>
    <row r="971" spans="1:26" ht="18.75">
      <c r="A971" s="1393"/>
      <c r="B971" s="1393"/>
      <c r="C971" s="1393"/>
      <c r="D971" s="1506"/>
      <c r="E971" s="1393"/>
      <c r="F971" s="1393"/>
      <c r="G971" s="1393"/>
      <c r="H971" s="1507"/>
      <c r="I971" s="1508"/>
      <c r="J971" s="1508"/>
      <c r="K971" s="1509"/>
      <c r="L971" s="1509"/>
      <c r="M971" s="1509"/>
      <c r="N971" s="1509"/>
      <c r="O971" s="1509"/>
      <c r="P971" s="1509"/>
      <c r="Q971" s="1314"/>
      <c r="R971" s="1314"/>
      <c r="S971" s="1314"/>
      <c r="T971" s="1314"/>
      <c r="U971" s="1314"/>
      <c r="V971" s="1314"/>
      <c r="W971" s="1314"/>
      <c r="X971" s="1314"/>
      <c r="Y971" s="1314"/>
      <c r="Z971" s="1314"/>
    </row>
    <row r="972" spans="1:26" ht="18.75">
      <c r="A972" s="1393"/>
      <c r="B972" s="1393"/>
      <c r="C972" s="1393"/>
      <c r="D972" s="1506"/>
      <c r="E972" s="1393"/>
      <c r="F972" s="1393"/>
      <c r="G972" s="1393"/>
      <c r="H972" s="1507"/>
      <c r="I972" s="1508"/>
      <c r="J972" s="1508"/>
      <c r="K972" s="1509"/>
      <c r="L972" s="1509"/>
      <c r="M972" s="1509"/>
      <c r="N972" s="1509"/>
      <c r="O972" s="1509"/>
      <c r="P972" s="1509"/>
      <c r="Q972" s="1314"/>
      <c r="R972" s="1314"/>
      <c r="S972" s="1314"/>
      <c r="T972" s="1314"/>
      <c r="U972" s="1314"/>
      <c r="V972" s="1314"/>
      <c r="W972" s="1314"/>
      <c r="X972" s="1314"/>
      <c r="Y972" s="1314"/>
      <c r="Z972" s="1314"/>
    </row>
    <row r="973" spans="1:26" ht="18.75">
      <c r="A973" s="1393"/>
      <c r="B973" s="1393"/>
      <c r="C973" s="1393"/>
      <c r="D973" s="1506"/>
      <c r="E973" s="1393"/>
      <c r="F973" s="1393"/>
      <c r="G973" s="1393"/>
      <c r="H973" s="1507"/>
      <c r="I973" s="1508"/>
      <c r="J973" s="1508"/>
      <c r="K973" s="1509"/>
      <c r="L973" s="1509"/>
      <c r="M973" s="1509"/>
      <c r="N973" s="1509"/>
      <c r="O973" s="1509"/>
      <c r="P973" s="1509"/>
      <c r="Q973" s="1314"/>
      <c r="R973" s="1314"/>
      <c r="S973" s="1314"/>
      <c r="T973" s="1314"/>
      <c r="U973" s="1314"/>
      <c r="V973" s="1314"/>
      <c r="W973" s="1314"/>
      <c r="X973" s="1314"/>
      <c r="Y973" s="1314"/>
      <c r="Z973" s="1314"/>
    </row>
    <row r="974" spans="1:26" ht="18.75">
      <c r="A974" s="1393"/>
      <c r="B974" s="1393"/>
      <c r="C974" s="1393"/>
      <c r="D974" s="1506"/>
      <c r="E974" s="1393"/>
      <c r="F974" s="1393"/>
      <c r="G974" s="1393"/>
      <c r="H974" s="1507"/>
      <c r="I974" s="1508"/>
      <c r="J974" s="1508"/>
      <c r="K974" s="1509"/>
      <c r="L974" s="1509"/>
      <c r="M974" s="1509"/>
      <c r="N974" s="1509"/>
      <c r="O974" s="1509"/>
      <c r="P974" s="1509"/>
      <c r="Q974" s="1314"/>
      <c r="R974" s="1314"/>
      <c r="S974" s="1314"/>
      <c r="T974" s="1314"/>
      <c r="U974" s="1314"/>
      <c r="V974" s="1314"/>
      <c r="W974" s="1314"/>
      <c r="X974" s="1314"/>
      <c r="Y974" s="1314"/>
      <c r="Z974" s="1314"/>
    </row>
    <row r="975" spans="1:26" ht="18.75">
      <c r="A975" s="1393"/>
      <c r="B975" s="1393"/>
      <c r="C975" s="1393"/>
      <c r="D975" s="1506"/>
      <c r="E975" s="1393"/>
      <c r="F975" s="1393"/>
      <c r="G975" s="1393"/>
      <c r="H975" s="1507"/>
      <c r="I975" s="1508"/>
      <c r="J975" s="1508"/>
      <c r="K975" s="1509"/>
      <c r="L975" s="1509"/>
      <c r="M975" s="1509"/>
      <c r="N975" s="1509"/>
      <c r="O975" s="1509"/>
      <c r="P975" s="1509"/>
      <c r="Q975" s="1314"/>
      <c r="R975" s="1314"/>
      <c r="S975" s="1314"/>
      <c r="T975" s="1314"/>
      <c r="U975" s="1314"/>
      <c r="V975" s="1314"/>
      <c r="W975" s="1314"/>
      <c r="X975" s="1314"/>
      <c r="Y975" s="1314"/>
      <c r="Z975" s="1314"/>
    </row>
    <row r="976" spans="1:26" ht="18.75">
      <c r="A976" s="1393"/>
      <c r="B976" s="1393"/>
      <c r="C976" s="1393"/>
      <c r="D976" s="1506"/>
      <c r="E976" s="1393"/>
      <c r="F976" s="1393"/>
      <c r="G976" s="1393"/>
      <c r="H976" s="1507"/>
      <c r="I976" s="1508"/>
      <c r="J976" s="1508"/>
      <c r="K976" s="1509"/>
      <c r="L976" s="1509"/>
      <c r="M976" s="1509"/>
      <c r="N976" s="1509"/>
      <c r="O976" s="1509"/>
      <c r="P976" s="1509"/>
      <c r="Q976" s="1314"/>
      <c r="R976" s="1314"/>
      <c r="S976" s="1314"/>
      <c r="T976" s="1314"/>
      <c r="U976" s="1314"/>
      <c r="V976" s="1314"/>
      <c r="W976" s="1314"/>
      <c r="X976" s="1314"/>
      <c r="Y976" s="1314"/>
      <c r="Z976" s="1314"/>
    </row>
    <row r="977" spans="1:26" ht="18.75">
      <c r="A977" s="1393"/>
      <c r="B977" s="1393"/>
      <c r="C977" s="1393"/>
      <c r="D977" s="1506"/>
      <c r="E977" s="1393"/>
      <c r="F977" s="1393"/>
      <c r="G977" s="1393"/>
      <c r="H977" s="1507"/>
      <c r="I977" s="1508"/>
      <c r="J977" s="1508"/>
      <c r="K977" s="1509"/>
      <c r="L977" s="1509"/>
      <c r="M977" s="1509"/>
      <c r="N977" s="1509"/>
      <c r="O977" s="1509"/>
      <c r="P977" s="1509"/>
      <c r="Q977" s="1314"/>
      <c r="R977" s="1314"/>
      <c r="S977" s="1314"/>
      <c r="T977" s="1314"/>
      <c r="U977" s="1314"/>
      <c r="V977" s="1314"/>
      <c r="W977" s="1314"/>
      <c r="X977" s="1314"/>
      <c r="Y977" s="1314"/>
      <c r="Z977" s="1314"/>
    </row>
    <row r="978" spans="1:26" ht="18.75">
      <c r="A978" s="1393"/>
      <c r="B978" s="1393"/>
      <c r="C978" s="1393"/>
      <c r="D978" s="1506"/>
      <c r="E978" s="1393"/>
      <c r="F978" s="1393"/>
      <c r="G978" s="1393"/>
      <c r="H978" s="1507"/>
      <c r="I978" s="1508"/>
      <c r="J978" s="1508"/>
      <c r="K978" s="1509"/>
      <c r="L978" s="1509"/>
      <c r="M978" s="1509"/>
      <c r="N978" s="1509"/>
      <c r="O978" s="1509"/>
      <c r="P978" s="1509"/>
      <c r="Q978" s="1314"/>
      <c r="R978" s="1314"/>
      <c r="S978" s="1314"/>
      <c r="T978" s="1314"/>
      <c r="U978" s="1314"/>
      <c r="V978" s="1314"/>
      <c r="W978" s="1314"/>
      <c r="X978" s="1314"/>
      <c r="Y978" s="1314"/>
      <c r="Z978" s="1314"/>
    </row>
    <row r="979" spans="1:26" ht="18.75">
      <c r="A979" s="1393"/>
      <c r="B979" s="1393"/>
      <c r="C979" s="1393"/>
      <c r="D979" s="1506"/>
      <c r="E979" s="1393"/>
      <c r="F979" s="1393"/>
      <c r="G979" s="1393"/>
      <c r="H979" s="1507"/>
      <c r="I979" s="1508"/>
      <c r="J979" s="1508"/>
      <c r="K979" s="1509"/>
      <c r="L979" s="1509"/>
      <c r="M979" s="1509"/>
      <c r="N979" s="1509"/>
      <c r="O979" s="1509"/>
      <c r="P979" s="1509"/>
      <c r="Q979" s="1314"/>
      <c r="R979" s="1314"/>
      <c r="S979" s="1314"/>
      <c r="T979" s="1314"/>
      <c r="U979" s="1314"/>
      <c r="V979" s="1314"/>
      <c r="W979" s="1314"/>
      <c r="X979" s="1314"/>
      <c r="Y979" s="1314"/>
      <c r="Z979" s="1314"/>
    </row>
    <row r="980" spans="1:26" ht="18.75">
      <c r="A980" s="1393"/>
      <c r="B980" s="1393"/>
      <c r="C980" s="1393"/>
      <c r="D980" s="1506"/>
      <c r="E980" s="1393"/>
      <c r="F980" s="1393"/>
      <c r="G980" s="1393"/>
      <c r="H980" s="1507"/>
      <c r="I980" s="1508"/>
      <c r="J980" s="1508"/>
      <c r="K980" s="1509"/>
      <c r="L980" s="1509"/>
      <c r="M980" s="1509"/>
      <c r="N980" s="1509"/>
      <c r="O980" s="1509"/>
      <c r="P980" s="1509"/>
      <c r="Q980" s="1314"/>
      <c r="R980" s="1314"/>
      <c r="S980" s="1314"/>
      <c r="T980" s="1314"/>
      <c r="U980" s="1314"/>
      <c r="V980" s="1314"/>
      <c r="W980" s="1314"/>
      <c r="X980" s="1314"/>
      <c r="Y980" s="1314"/>
      <c r="Z980" s="1314"/>
    </row>
    <row r="981" spans="1:26" ht="18.75">
      <c r="A981" s="1393"/>
      <c r="B981" s="1393"/>
      <c r="C981" s="1393"/>
      <c r="D981" s="1506"/>
      <c r="E981" s="1393"/>
      <c r="F981" s="1393"/>
      <c r="G981" s="1393"/>
      <c r="H981" s="1507"/>
      <c r="I981" s="1508"/>
      <c r="J981" s="1508"/>
      <c r="K981" s="1509"/>
      <c r="L981" s="1509"/>
      <c r="M981" s="1509"/>
      <c r="N981" s="1509"/>
      <c r="O981" s="1509"/>
      <c r="P981" s="1509"/>
      <c r="Q981" s="1314"/>
      <c r="R981" s="1314"/>
      <c r="S981" s="1314"/>
      <c r="T981" s="1314"/>
      <c r="U981" s="1314"/>
      <c r="V981" s="1314"/>
      <c r="W981" s="1314"/>
      <c r="X981" s="1314"/>
      <c r="Y981" s="1314"/>
      <c r="Z981" s="1314"/>
    </row>
    <row r="982" spans="1:26" ht="18.75">
      <c r="A982" s="1393"/>
      <c r="B982" s="1393"/>
      <c r="C982" s="1393"/>
      <c r="D982" s="1506"/>
      <c r="E982" s="1393"/>
      <c r="F982" s="1393"/>
      <c r="G982" s="1393"/>
      <c r="H982" s="1507"/>
      <c r="I982" s="1508"/>
      <c r="J982" s="1508"/>
      <c r="K982" s="1509"/>
      <c r="L982" s="1509"/>
      <c r="M982" s="1509"/>
      <c r="N982" s="1509"/>
      <c r="O982" s="1509"/>
      <c r="P982" s="1509"/>
      <c r="Q982" s="1314"/>
      <c r="R982" s="1314"/>
      <c r="S982" s="1314"/>
      <c r="T982" s="1314"/>
      <c r="U982" s="1314"/>
      <c r="V982" s="1314"/>
      <c r="W982" s="1314"/>
      <c r="X982" s="1314"/>
      <c r="Y982" s="1314"/>
      <c r="Z982" s="1314"/>
    </row>
    <row r="983" spans="1:26" ht="18.75">
      <c r="A983" s="1393"/>
      <c r="B983" s="1393"/>
      <c r="C983" s="1393"/>
      <c r="D983" s="1506"/>
      <c r="E983" s="1393"/>
      <c r="F983" s="1393"/>
      <c r="G983" s="1393"/>
      <c r="H983" s="1507"/>
      <c r="I983" s="1508"/>
      <c r="J983" s="1508"/>
      <c r="K983" s="1509"/>
      <c r="L983" s="1509"/>
      <c r="M983" s="1509"/>
      <c r="N983" s="1509"/>
      <c r="O983" s="1509"/>
      <c r="P983" s="1509"/>
      <c r="Q983" s="1314"/>
      <c r="R983" s="1314"/>
      <c r="S983" s="1314"/>
      <c r="T983" s="1314"/>
      <c r="U983" s="1314"/>
      <c r="V983" s="1314"/>
      <c r="W983" s="1314"/>
      <c r="X983" s="1314"/>
      <c r="Y983" s="1314"/>
      <c r="Z983" s="1314"/>
    </row>
    <row r="984" spans="1:26" ht="18.75">
      <c r="A984" s="1393"/>
      <c r="B984" s="1393"/>
      <c r="C984" s="1393"/>
      <c r="D984" s="1506"/>
      <c r="E984" s="1393"/>
      <c r="F984" s="1393"/>
      <c r="G984" s="1393"/>
      <c r="H984" s="1507"/>
      <c r="I984" s="1508"/>
      <c r="J984" s="1508"/>
      <c r="K984" s="1509"/>
      <c r="L984" s="1509"/>
      <c r="M984" s="1509"/>
      <c r="N984" s="1509"/>
      <c r="O984" s="1509"/>
      <c r="P984" s="1509"/>
      <c r="Q984" s="1314"/>
      <c r="R984" s="1314"/>
      <c r="S984" s="1314"/>
      <c r="T984" s="1314"/>
      <c r="U984" s="1314"/>
      <c r="V984" s="1314"/>
      <c r="W984" s="1314"/>
      <c r="X984" s="1314"/>
      <c r="Y984" s="1314"/>
      <c r="Z984" s="1314"/>
    </row>
    <row r="985" spans="1:26" ht="18.75">
      <c r="A985" s="1393"/>
      <c r="B985" s="1393"/>
      <c r="C985" s="1393"/>
      <c r="D985" s="1506"/>
      <c r="E985" s="1393"/>
      <c r="F985" s="1393"/>
      <c r="G985" s="1393"/>
      <c r="H985" s="1507"/>
      <c r="I985" s="1508"/>
      <c r="J985" s="1508"/>
      <c r="K985" s="1509"/>
      <c r="L985" s="1509"/>
      <c r="M985" s="1509"/>
      <c r="N985" s="1509"/>
      <c r="O985" s="1509"/>
      <c r="P985" s="1509"/>
      <c r="Q985" s="1314"/>
      <c r="R985" s="1314"/>
      <c r="S985" s="1314"/>
      <c r="T985" s="1314"/>
      <c r="U985" s="1314"/>
      <c r="V985" s="1314"/>
      <c r="W985" s="1314"/>
      <c r="X985" s="1314"/>
      <c r="Y985" s="1314"/>
      <c r="Z985" s="1314"/>
    </row>
    <row r="986" spans="1:26" ht="18.75">
      <c r="A986" s="1393"/>
      <c r="B986" s="1393"/>
      <c r="C986" s="1393"/>
      <c r="D986" s="1506"/>
      <c r="E986" s="1393"/>
      <c r="F986" s="1393"/>
      <c r="G986" s="1393"/>
      <c r="H986" s="1507"/>
      <c r="I986" s="1508"/>
      <c r="J986" s="1508"/>
      <c r="K986" s="1509"/>
      <c r="L986" s="1509"/>
      <c r="M986" s="1509"/>
      <c r="N986" s="1509"/>
      <c r="O986" s="1509"/>
      <c r="P986" s="1509"/>
      <c r="Q986" s="1314"/>
      <c r="R986" s="1314"/>
      <c r="S986" s="1314"/>
      <c r="T986" s="1314"/>
      <c r="U986" s="1314"/>
      <c r="V986" s="1314"/>
      <c r="W986" s="1314"/>
      <c r="X986" s="1314"/>
      <c r="Y986" s="1314"/>
      <c r="Z986" s="1314"/>
    </row>
    <row r="987" spans="1:26" ht="18.75">
      <c r="A987" s="1393"/>
      <c r="B987" s="1393"/>
      <c r="C987" s="1393"/>
      <c r="D987" s="1506"/>
      <c r="E987" s="1393"/>
      <c r="F987" s="1393"/>
      <c r="G987" s="1393"/>
      <c r="H987" s="1507"/>
      <c r="I987" s="1508"/>
      <c r="J987" s="1508"/>
      <c r="K987" s="1509"/>
      <c r="L987" s="1509"/>
      <c r="M987" s="1509"/>
      <c r="N987" s="1509"/>
      <c r="O987" s="1509"/>
      <c r="P987" s="1509"/>
      <c r="Q987" s="1314"/>
      <c r="R987" s="1314"/>
      <c r="S987" s="1314"/>
      <c r="T987" s="1314"/>
      <c r="U987" s="1314"/>
      <c r="V987" s="1314"/>
      <c r="W987" s="1314"/>
      <c r="X987" s="1314"/>
      <c r="Y987" s="1314"/>
      <c r="Z987" s="1314"/>
    </row>
    <row r="988" spans="1:26" ht="18.75">
      <c r="A988" s="1393"/>
      <c r="B988" s="1393"/>
      <c r="C988" s="1393"/>
      <c r="D988" s="1506"/>
      <c r="E988" s="1393"/>
      <c r="F988" s="1393"/>
      <c r="G988" s="1393"/>
      <c r="H988" s="1507"/>
      <c r="I988" s="1508"/>
      <c r="J988" s="1508"/>
      <c r="K988" s="1509"/>
      <c r="L988" s="1509"/>
      <c r="M988" s="1509"/>
      <c r="N988" s="1509"/>
      <c r="O988" s="1509"/>
      <c r="P988" s="1509"/>
      <c r="Q988" s="1314"/>
      <c r="R988" s="1314"/>
      <c r="S988" s="1314"/>
      <c r="T988" s="1314"/>
      <c r="U988" s="1314"/>
      <c r="V988" s="1314"/>
      <c r="W988" s="1314"/>
      <c r="X988" s="1314"/>
      <c r="Y988" s="1314"/>
      <c r="Z988" s="1314"/>
    </row>
    <row r="989" spans="1:26" ht="18.75">
      <c r="A989" s="1393"/>
      <c r="B989" s="1393"/>
      <c r="C989" s="1393"/>
      <c r="D989" s="1506"/>
      <c r="E989" s="1393"/>
      <c r="F989" s="1393"/>
      <c r="G989" s="1393"/>
      <c r="H989" s="1507"/>
      <c r="I989" s="1508"/>
      <c r="J989" s="1508"/>
      <c r="K989" s="1509"/>
      <c r="L989" s="1509"/>
      <c r="M989" s="1509"/>
      <c r="N989" s="1509"/>
      <c r="O989" s="1509"/>
      <c r="P989" s="1509"/>
      <c r="Q989" s="1314"/>
      <c r="R989" s="1314"/>
      <c r="S989" s="1314"/>
      <c r="T989" s="1314"/>
      <c r="U989" s="1314"/>
      <c r="V989" s="1314"/>
      <c r="W989" s="1314"/>
      <c r="X989" s="1314"/>
      <c r="Y989" s="1314"/>
      <c r="Z989" s="1314"/>
    </row>
    <row r="990" spans="1:26" ht="18.75">
      <c r="A990" s="1393"/>
      <c r="B990" s="1393"/>
      <c r="C990" s="1393"/>
      <c r="D990" s="1506"/>
      <c r="E990" s="1393"/>
      <c r="F990" s="1393"/>
      <c r="G990" s="1393"/>
      <c r="H990" s="1507"/>
      <c r="I990" s="1508"/>
      <c r="J990" s="1508"/>
      <c r="K990" s="1509"/>
      <c r="L990" s="1509"/>
      <c r="M990" s="1509"/>
      <c r="N990" s="1509"/>
      <c r="O990" s="1509"/>
      <c r="P990" s="1509"/>
      <c r="Q990" s="1314"/>
      <c r="R990" s="1314"/>
      <c r="S990" s="1314"/>
      <c r="T990" s="1314"/>
      <c r="U990" s="1314"/>
      <c r="V990" s="1314"/>
      <c r="W990" s="1314"/>
      <c r="X990" s="1314"/>
      <c r="Y990" s="1314"/>
      <c r="Z990" s="1314"/>
    </row>
    <row r="991" spans="1:26" ht="18.75">
      <c r="A991" s="1393"/>
      <c r="B991" s="1393"/>
      <c r="C991" s="1393"/>
      <c r="D991" s="1506"/>
      <c r="E991" s="1393"/>
      <c r="F991" s="1393"/>
      <c r="G991" s="1393"/>
      <c r="H991" s="1507"/>
      <c r="I991" s="1508"/>
      <c r="J991" s="1508"/>
      <c r="K991" s="1509"/>
      <c r="L991" s="1509"/>
      <c r="M991" s="1509"/>
      <c r="N991" s="1509"/>
      <c r="O991" s="1509"/>
      <c r="P991" s="1509"/>
      <c r="Q991" s="1314"/>
      <c r="R991" s="1314"/>
      <c r="S991" s="1314"/>
      <c r="T991" s="1314"/>
      <c r="U991" s="1314"/>
      <c r="V991" s="1314"/>
      <c r="W991" s="1314"/>
      <c r="X991" s="1314"/>
      <c r="Y991" s="1314"/>
      <c r="Z991" s="1314"/>
    </row>
    <row r="992" spans="1:26" ht="18.75">
      <c r="A992" s="1393"/>
      <c r="B992" s="1393"/>
      <c r="C992" s="1393"/>
      <c r="D992" s="1506"/>
      <c r="E992" s="1393"/>
      <c r="F992" s="1393"/>
      <c r="G992" s="1393"/>
      <c r="H992" s="1507"/>
      <c r="I992" s="1508"/>
      <c r="J992" s="1508"/>
      <c r="K992" s="1509"/>
      <c r="L992" s="1509"/>
      <c r="M992" s="1509"/>
      <c r="N992" s="1509"/>
      <c r="O992" s="1509"/>
      <c r="P992" s="1509"/>
      <c r="Q992" s="1314"/>
      <c r="R992" s="1314"/>
      <c r="S992" s="1314"/>
      <c r="T992" s="1314"/>
      <c r="U992" s="1314"/>
      <c r="V992" s="1314"/>
      <c r="W992" s="1314"/>
      <c r="X992" s="1314"/>
      <c r="Y992" s="1314"/>
      <c r="Z992" s="1314"/>
    </row>
    <row r="993" spans="1:26" ht="18.75">
      <c r="A993" s="1393"/>
      <c r="B993" s="1393"/>
      <c r="C993" s="1393"/>
      <c r="D993" s="1506"/>
      <c r="E993" s="1393"/>
      <c r="F993" s="1393"/>
      <c r="G993" s="1393"/>
      <c r="H993" s="1507"/>
      <c r="I993" s="1508"/>
      <c r="J993" s="1508"/>
      <c r="K993" s="1509"/>
      <c r="L993" s="1509"/>
      <c r="M993" s="1509"/>
      <c r="N993" s="1509"/>
      <c r="O993" s="1509"/>
      <c r="P993" s="1509"/>
      <c r="Q993" s="1314"/>
      <c r="R993" s="1314"/>
      <c r="S993" s="1314"/>
      <c r="T993" s="1314"/>
      <c r="U993" s="1314"/>
      <c r="V993" s="1314"/>
      <c r="W993" s="1314"/>
      <c r="X993" s="1314"/>
      <c r="Y993" s="1314"/>
      <c r="Z993" s="1314"/>
    </row>
    <row r="994" spans="1:26" ht="18.75">
      <c r="A994" s="1393"/>
      <c r="B994" s="1393"/>
      <c r="C994" s="1393"/>
      <c r="D994" s="1506"/>
      <c r="E994" s="1393"/>
      <c r="F994" s="1393"/>
      <c r="G994" s="1393"/>
      <c r="H994" s="1507"/>
      <c r="I994" s="1508"/>
      <c r="J994" s="1508"/>
      <c r="K994" s="1509"/>
      <c r="L994" s="1509"/>
      <c r="M994" s="1509"/>
      <c r="N994" s="1509"/>
      <c r="O994" s="1509"/>
      <c r="P994" s="1509"/>
      <c r="Q994" s="1314"/>
      <c r="R994" s="1314"/>
      <c r="S994" s="1314"/>
      <c r="T994" s="1314"/>
      <c r="U994" s="1314"/>
      <c r="V994" s="1314"/>
      <c r="W994" s="1314"/>
      <c r="X994" s="1314"/>
      <c r="Y994" s="1314"/>
      <c r="Z994" s="1314"/>
    </row>
    <row r="995" spans="1:26" ht="18.75">
      <c r="A995" s="1393"/>
      <c r="B995" s="1393"/>
      <c r="C995" s="1393"/>
      <c r="D995" s="1506"/>
      <c r="E995" s="1393"/>
      <c r="F995" s="1393"/>
      <c r="G995" s="1393"/>
      <c r="H995" s="1507"/>
      <c r="I995" s="1508"/>
      <c r="J995" s="1508"/>
      <c r="K995" s="1509"/>
      <c r="L995" s="1509"/>
      <c r="M995" s="1509"/>
      <c r="N995" s="1509"/>
      <c r="O995" s="1509"/>
      <c r="P995" s="1509"/>
      <c r="Q995" s="1314"/>
      <c r="R995" s="1314"/>
      <c r="S995" s="1314"/>
      <c r="T995" s="1314"/>
      <c r="U995" s="1314"/>
      <c r="V995" s="1314"/>
      <c r="W995" s="1314"/>
      <c r="X995" s="1314"/>
      <c r="Y995" s="1314"/>
      <c r="Z995" s="1314"/>
    </row>
    <row r="996" spans="1:26" ht="18.75">
      <c r="A996" s="1393"/>
      <c r="B996" s="1393"/>
      <c r="C996" s="1393"/>
      <c r="D996" s="1506"/>
      <c r="E996" s="1393"/>
      <c r="F996" s="1393"/>
      <c r="G996" s="1393"/>
      <c r="H996" s="1507"/>
      <c r="I996" s="1508"/>
      <c r="J996" s="1508"/>
      <c r="K996" s="1509"/>
      <c r="L996" s="1509"/>
      <c r="M996" s="1509"/>
      <c r="N996" s="1509"/>
      <c r="O996" s="1509"/>
      <c r="P996" s="1509"/>
      <c r="Q996" s="1314"/>
      <c r="R996" s="1314"/>
      <c r="S996" s="1314"/>
      <c r="T996" s="1314"/>
      <c r="U996" s="1314"/>
      <c r="V996" s="1314"/>
      <c r="W996" s="1314"/>
      <c r="X996" s="1314"/>
      <c r="Y996" s="1314"/>
      <c r="Z996" s="1314"/>
    </row>
    <row r="997" spans="1:26" ht="18.75">
      <c r="A997" s="1393"/>
      <c r="B997" s="1393"/>
      <c r="C997" s="1393"/>
      <c r="D997" s="1506"/>
      <c r="E997" s="1393"/>
      <c r="F997" s="1393"/>
      <c r="G997" s="1393"/>
      <c r="H997" s="1507"/>
      <c r="I997" s="1508"/>
      <c r="J997" s="1508"/>
      <c r="K997" s="1509"/>
      <c r="L997" s="1509"/>
      <c r="M997" s="1509"/>
      <c r="N997" s="1509"/>
      <c r="O997" s="1509"/>
      <c r="P997" s="1509"/>
      <c r="Q997" s="1314"/>
      <c r="R997" s="1314"/>
      <c r="S997" s="1314"/>
      <c r="T997" s="1314"/>
      <c r="U997" s="1314"/>
      <c r="V997" s="1314"/>
      <c r="W997" s="1314"/>
      <c r="X997" s="1314"/>
      <c r="Y997" s="1314"/>
      <c r="Z997" s="1314"/>
    </row>
    <row r="998" spans="1:26" ht="18.75">
      <c r="A998" s="1393"/>
      <c r="B998" s="1393"/>
      <c r="C998" s="1393"/>
      <c r="D998" s="1506"/>
      <c r="E998" s="1393"/>
      <c r="F998" s="1393"/>
      <c r="G998" s="1393"/>
      <c r="H998" s="1507"/>
      <c r="I998" s="1508"/>
      <c r="J998" s="1508"/>
      <c r="K998" s="1509"/>
      <c r="L998" s="1509"/>
      <c r="M998" s="1509"/>
      <c r="N998" s="1509"/>
      <c r="O998" s="1509"/>
      <c r="P998" s="1509"/>
      <c r="Q998" s="1314"/>
      <c r="R998" s="1314"/>
      <c r="S998" s="1314"/>
      <c r="T998" s="1314"/>
      <c r="U998" s="1314"/>
      <c r="V998" s="1314"/>
      <c r="W998" s="1314"/>
      <c r="X998" s="1314"/>
      <c r="Y998" s="1314"/>
      <c r="Z998" s="1314"/>
    </row>
    <row r="999" spans="1:26" ht="18.75">
      <c r="A999" s="1393"/>
      <c r="B999" s="1393"/>
      <c r="C999" s="1393"/>
      <c r="D999" s="1506"/>
      <c r="E999" s="1393"/>
      <c r="F999" s="1393"/>
      <c r="G999" s="1393"/>
      <c r="H999" s="1507"/>
      <c r="I999" s="1508"/>
      <c r="J999" s="1508"/>
      <c r="K999" s="1509"/>
      <c r="L999" s="1509"/>
      <c r="M999" s="1509"/>
      <c r="N999" s="1509"/>
      <c r="O999" s="1509"/>
      <c r="P999" s="1509"/>
      <c r="Q999" s="1314"/>
      <c r="R999" s="1314"/>
      <c r="S999" s="1314"/>
      <c r="T999" s="1314"/>
      <c r="U999" s="1314"/>
      <c r="V999" s="1314"/>
      <c r="W999" s="1314"/>
      <c r="X999" s="1314"/>
      <c r="Y999" s="1314"/>
      <c r="Z999" s="1314"/>
    </row>
    <row r="1000" spans="1:26" ht="18.75">
      <c r="A1000" s="1393"/>
      <c r="B1000" s="1393"/>
      <c r="C1000" s="1393"/>
      <c r="D1000" s="1506"/>
      <c r="E1000" s="1393"/>
      <c r="F1000" s="1393"/>
      <c r="G1000" s="1393"/>
      <c r="H1000" s="1507"/>
      <c r="I1000" s="1508"/>
      <c r="J1000" s="1508"/>
      <c r="K1000" s="1509"/>
      <c r="L1000" s="1509"/>
      <c r="M1000" s="1509"/>
      <c r="N1000" s="1509"/>
      <c r="O1000" s="1509"/>
      <c r="P1000" s="1509"/>
      <c r="Q1000" s="1314"/>
      <c r="R1000" s="1314"/>
      <c r="S1000" s="1314"/>
      <c r="T1000" s="1314"/>
      <c r="U1000" s="1314"/>
      <c r="V1000" s="1314"/>
      <c r="W1000" s="1314"/>
      <c r="X1000" s="1314"/>
      <c r="Y1000" s="1314"/>
      <c r="Z1000" s="1314"/>
    </row>
    <row r="1001" spans="1:26" ht="18.75">
      <c r="A1001" s="1393"/>
      <c r="B1001" s="1393"/>
      <c r="C1001" s="1393"/>
      <c r="D1001" s="1506"/>
      <c r="E1001" s="1393"/>
      <c r="F1001" s="1393"/>
      <c r="G1001" s="1393"/>
      <c r="H1001" s="1507"/>
      <c r="I1001" s="1508"/>
      <c r="J1001" s="1508"/>
      <c r="K1001" s="1509"/>
      <c r="L1001" s="1509"/>
      <c r="M1001" s="1509"/>
      <c r="N1001" s="1509"/>
      <c r="O1001" s="1509"/>
      <c r="P1001" s="1509"/>
      <c r="Q1001" s="1314"/>
      <c r="R1001" s="1314"/>
      <c r="S1001" s="1314"/>
      <c r="T1001" s="1314"/>
      <c r="U1001" s="1314"/>
      <c r="V1001" s="1314"/>
      <c r="W1001" s="1314"/>
      <c r="X1001" s="1314"/>
      <c r="Y1001" s="1314"/>
      <c r="Z1001" s="1314"/>
    </row>
    <row r="1002" spans="1:26" ht="18.75">
      <c r="A1002" s="1393"/>
      <c r="B1002" s="1393"/>
      <c r="C1002" s="1393"/>
      <c r="D1002" s="1506"/>
      <c r="E1002" s="1393"/>
      <c r="F1002" s="1393"/>
      <c r="G1002" s="1393"/>
      <c r="H1002" s="1507"/>
      <c r="I1002" s="1508"/>
      <c r="J1002" s="1508"/>
      <c r="K1002" s="1509"/>
      <c r="L1002" s="1509"/>
      <c r="M1002" s="1509"/>
      <c r="N1002" s="1509"/>
      <c r="O1002" s="1509"/>
      <c r="P1002" s="1509"/>
      <c r="Q1002" s="1314"/>
      <c r="R1002" s="1314"/>
      <c r="S1002" s="1314"/>
      <c r="T1002" s="1314"/>
      <c r="U1002" s="1314"/>
      <c r="V1002" s="1314"/>
      <c r="W1002" s="1314"/>
      <c r="X1002" s="1314"/>
      <c r="Y1002" s="1314"/>
      <c r="Z1002" s="1314"/>
    </row>
    <row r="1003" spans="1:26" ht="18.75">
      <c r="A1003" s="1393"/>
      <c r="B1003" s="1393"/>
      <c r="C1003" s="1393"/>
      <c r="D1003" s="1506"/>
      <c r="E1003" s="1393"/>
      <c r="F1003" s="1393"/>
      <c r="G1003" s="1393"/>
      <c r="H1003" s="1507"/>
      <c r="I1003" s="1508"/>
      <c r="J1003" s="1508"/>
      <c r="K1003" s="1509"/>
      <c r="L1003" s="1509"/>
      <c r="M1003" s="1509"/>
      <c r="N1003" s="1509"/>
      <c r="O1003" s="1509"/>
      <c r="P1003" s="1509"/>
      <c r="Q1003" s="1314"/>
      <c r="R1003" s="1314"/>
      <c r="S1003" s="1314"/>
      <c r="T1003" s="1314"/>
      <c r="U1003" s="1314"/>
      <c r="V1003" s="1314"/>
      <c r="W1003" s="1314"/>
      <c r="X1003" s="1314"/>
      <c r="Y1003" s="1314"/>
      <c r="Z1003" s="1314"/>
    </row>
    <row r="1004" spans="1:26" ht="18.75">
      <c r="A1004" s="1393"/>
      <c r="B1004" s="1393"/>
      <c r="C1004" s="1393"/>
      <c r="D1004" s="1506"/>
      <c r="E1004" s="1393"/>
      <c r="F1004" s="1393"/>
      <c r="G1004" s="1393"/>
      <c r="H1004" s="1507"/>
      <c r="I1004" s="1508"/>
      <c r="J1004" s="1508"/>
      <c r="K1004" s="1509"/>
      <c r="L1004" s="1509"/>
      <c r="M1004" s="1509"/>
      <c r="N1004" s="1509"/>
      <c r="O1004" s="1509"/>
      <c r="P1004" s="1509"/>
      <c r="Q1004" s="1314"/>
      <c r="R1004" s="1314"/>
      <c r="S1004" s="1314"/>
      <c r="T1004" s="1314"/>
      <c r="U1004" s="1314"/>
      <c r="V1004" s="1314"/>
      <c r="W1004" s="1314"/>
      <c r="X1004" s="1314"/>
      <c r="Y1004" s="1314"/>
      <c r="Z1004" s="1314"/>
    </row>
    <row r="1005" spans="1:26" ht="18.75">
      <c r="A1005" s="1393"/>
      <c r="B1005" s="1393"/>
      <c r="C1005" s="1393"/>
      <c r="D1005" s="1506"/>
      <c r="E1005" s="1393"/>
      <c r="F1005" s="1393"/>
      <c r="G1005" s="1393"/>
      <c r="H1005" s="1507"/>
      <c r="I1005" s="1508"/>
      <c r="J1005" s="1508"/>
      <c r="K1005" s="1509"/>
      <c r="L1005" s="1509"/>
      <c r="M1005" s="1509"/>
      <c r="N1005" s="1509"/>
      <c r="O1005" s="1509"/>
      <c r="P1005" s="1509"/>
      <c r="Q1005" s="1314"/>
      <c r="R1005" s="1314"/>
      <c r="S1005" s="1314"/>
      <c r="T1005" s="1314"/>
      <c r="U1005" s="1314"/>
      <c r="V1005" s="1314"/>
      <c r="W1005" s="1314"/>
      <c r="X1005" s="1314"/>
      <c r="Y1005" s="1314"/>
      <c r="Z1005" s="1314"/>
    </row>
    <row r="1006" spans="1:26" ht="18.75">
      <c r="A1006" s="1393"/>
      <c r="B1006" s="1393"/>
      <c r="C1006" s="1393"/>
      <c r="D1006" s="1506"/>
      <c r="E1006" s="1393"/>
      <c r="F1006" s="1393"/>
      <c r="G1006" s="1393"/>
      <c r="H1006" s="1507"/>
      <c r="I1006" s="1508"/>
      <c r="J1006" s="1508"/>
      <c r="K1006" s="1509"/>
      <c r="L1006" s="1509"/>
      <c r="M1006" s="1509"/>
      <c r="N1006" s="1509"/>
      <c r="O1006" s="1509"/>
      <c r="P1006" s="1509"/>
      <c r="Q1006" s="1314"/>
      <c r="R1006" s="1314"/>
      <c r="S1006" s="1314"/>
      <c r="T1006" s="1314"/>
      <c r="U1006" s="1314"/>
      <c r="V1006" s="1314"/>
      <c r="W1006" s="1314"/>
      <c r="X1006" s="1314"/>
      <c r="Y1006" s="1314"/>
      <c r="Z1006" s="1314"/>
    </row>
    <row r="1007" spans="1:26" ht="18.75">
      <c r="A1007" s="1393"/>
      <c r="B1007" s="1393"/>
      <c r="C1007" s="1393"/>
      <c r="D1007" s="1506"/>
      <c r="E1007" s="1393"/>
      <c r="F1007" s="1393"/>
      <c r="G1007" s="1393"/>
      <c r="H1007" s="1507"/>
      <c r="I1007" s="1508"/>
      <c r="J1007" s="1508"/>
      <c r="K1007" s="1509"/>
      <c r="L1007" s="1509"/>
      <c r="M1007" s="1509"/>
      <c r="N1007" s="1509"/>
      <c r="O1007" s="1509"/>
      <c r="P1007" s="1509"/>
      <c r="Q1007" s="1314"/>
      <c r="R1007" s="1314"/>
      <c r="S1007" s="1314"/>
      <c r="T1007" s="1314"/>
      <c r="U1007" s="1314"/>
      <c r="V1007" s="1314"/>
      <c r="W1007" s="1314"/>
      <c r="X1007" s="1314"/>
      <c r="Y1007" s="1314"/>
      <c r="Z1007" s="1314"/>
    </row>
    <row r="1008" spans="1:26" ht="18.75">
      <c r="A1008" s="1393"/>
      <c r="B1008" s="1393"/>
      <c r="C1008" s="1393"/>
      <c r="D1008" s="1506"/>
      <c r="E1008" s="1393"/>
      <c r="F1008" s="1393"/>
      <c r="G1008" s="1393"/>
      <c r="H1008" s="1507"/>
      <c r="I1008" s="1508"/>
      <c r="J1008" s="1508"/>
      <c r="K1008" s="1509"/>
      <c r="L1008" s="1509"/>
      <c r="M1008" s="1509"/>
      <c r="N1008" s="1509"/>
      <c r="O1008" s="1509"/>
      <c r="P1008" s="1509"/>
      <c r="Q1008" s="1314"/>
      <c r="R1008" s="1314"/>
      <c r="S1008" s="1314"/>
      <c r="T1008" s="1314"/>
      <c r="U1008" s="1314"/>
      <c r="V1008" s="1314"/>
      <c r="W1008" s="1314"/>
      <c r="X1008" s="1314"/>
      <c r="Y1008" s="1314"/>
      <c r="Z1008" s="1314"/>
    </row>
    <row r="1009" spans="1:26" ht="18.75">
      <c r="A1009" s="1393"/>
      <c r="B1009" s="1393"/>
      <c r="C1009" s="1393"/>
      <c r="D1009" s="1506"/>
      <c r="E1009" s="1393"/>
      <c r="F1009" s="1393"/>
      <c r="G1009" s="1393"/>
      <c r="H1009" s="1507"/>
      <c r="I1009" s="1508"/>
      <c r="J1009" s="1508"/>
      <c r="K1009" s="1509"/>
      <c r="L1009" s="1509"/>
      <c r="M1009" s="1509"/>
      <c r="N1009" s="1509"/>
      <c r="O1009" s="1509"/>
      <c r="P1009" s="1509"/>
      <c r="Q1009" s="1314"/>
      <c r="R1009" s="1314"/>
      <c r="S1009" s="1314"/>
      <c r="T1009" s="1314"/>
      <c r="U1009" s="1314"/>
      <c r="V1009" s="1314"/>
      <c r="W1009" s="1314"/>
      <c r="X1009" s="1314"/>
      <c r="Y1009" s="1314"/>
      <c r="Z1009" s="1314"/>
    </row>
    <row r="1010" spans="1:26" ht="18.75">
      <c r="A1010" s="1393"/>
      <c r="B1010" s="1393"/>
      <c r="C1010" s="1393"/>
      <c r="D1010" s="1506"/>
      <c r="E1010" s="1393"/>
      <c r="F1010" s="1393"/>
      <c r="G1010" s="1393"/>
      <c r="H1010" s="1507"/>
      <c r="I1010" s="1508"/>
      <c r="J1010" s="1508"/>
      <c r="K1010" s="1509"/>
      <c r="L1010" s="1509"/>
      <c r="M1010" s="1509"/>
      <c r="N1010" s="1509"/>
      <c r="O1010" s="1509"/>
      <c r="P1010" s="1509"/>
      <c r="Q1010" s="1314"/>
      <c r="R1010" s="1314"/>
      <c r="S1010" s="1314"/>
      <c r="T1010" s="1314"/>
      <c r="U1010" s="1314"/>
      <c r="V1010" s="1314"/>
      <c r="W1010" s="1314"/>
      <c r="X1010" s="1314"/>
      <c r="Y1010" s="1314"/>
      <c r="Z1010" s="1314"/>
    </row>
    <row r="1011" spans="1:26" ht="18.75">
      <c r="A1011" s="1393"/>
      <c r="B1011" s="1393"/>
      <c r="C1011" s="1393"/>
      <c r="D1011" s="1506"/>
      <c r="E1011" s="1393"/>
      <c r="F1011" s="1393"/>
      <c r="G1011" s="1393"/>
      <c r="H1011" s="1507"/>
      <c r="I1011" s="1508"/>
      <c r="J1011" s="1508"/>
      <c r="K1011" s="1509"/>
      <c r="L1011" s="1509"/>
      <c r="M1011" s="1509"/>
      <c r="N1011" s="1509"/>
      <c r="O1011" s="1509"/>
      <c r="P1011" s="1509"/>
      <c r="Q1011" s="1314"/>
      <c r="R1011" s="1314"/>
      <c r="S1011" s="1314"/>
      <c r="T1011" s="1314"/>
      <c r="U1011" s="1314"/>
      <c r="V1011" s="1314"/>
      <c r="W1011" s="1314"/>
      <c r="X1011" s="1314"/>
      <c r="Y1011" s="1314"/>
      <c r="Z1011" s="1314"/>
    </row>
    <row r="1012" spans="1:26" ht="18.75">
      <c r="A1012" s="1393"/>
      <c r="B1012" s="1393"/>
      <c r="C1012" s="1393"/>
      <c r="D1012" s="1506"/>
      <c r="E1012" s="1393"/>
      <c r="F1012" s="1393"/>
      <c r="G1012" s="1393"/>
      <c r="H1012" s="1507"/>
      <c r="I1012" s="1508"/>
      <c r="J1012" s="1508"/>
      <c r="K1012" s="1509"/>
      <c r="L1012" s="1509"/>
      <c r="M1012" s="1509"/>
      <c r="N1012" s="1509"/>
      <c r="O1012" s="1509"/>
      <c r="P1012" s="1509"/>
      <c r="Q1012" s="1314"/>
      <c r="R1012" s="1314"/>
      <c r="S1012" s="1314"/>
      <c r="T1012" s="1314"/>
      <c r="U1012" s="1314"/>
      <c r="V1012" s="1314"/>
      <c r="W1012" s="1314"/>
      <c r="X1012" s="1314"/>
      <c r="Y1012" s="1314"/>
      <c r="Z1012" s="1314"/>
    </row>
    <row r="1013" spans="1:26" ht="18.75">
      <c r="A1013" s="1393"/>
      <c r="B1013" s="1393"/>
      <c r="C1013" s="1393"/>
      <c r="D1013" s="1506"/>
      <c r="E1013" s="1393"/>
      <c r="F1013" s="1393"/>
      <c r="G1013" s="1393"/>
      <c r="H1013" s="1507"/>
      <c r="I1013" s="1508"/>
      <c r="J1013" s="1508"/>
      <c r="K1013" s="1509"/>
      <c r="L1013" s="1509"/>
      <c r="M1013" s="1509"/>
      <c r="N1013" s="1509"/>
      <c r="O1013" s="1509"/>
      <c r="P1013" s="1509"/>
      <c r="Q1013" s="1314"/>
      <c r="R1013" s="1314"/>
      <c r="S1013" s="1314"/>
      <c r="T1013" s="1314"/>
      <c r="U1013" s="1314"/>
      <c r="V1013" s="1314"/>
      <c r="W1013" s="1314"/>
      <c r="X1013" s="1314"/>
      <c r="Y1013" s="1314"/>
      <c r="Z1013" s="1314"/>
    </row>
    <row r="1014" spans="1:26" ht="18.75">
      <c r="A1014" s="1393"/>
      <c r="B1014" s="1393"/>
      <c r="C1014" s="1393"/>
      <c r="D1014" s="1506"/>
      <c r="E1014" s="1393"/>
      <c r="F1014" s="1393"/>
      <c r="G1014" s="1393"/>
      <c r="H1014" s="1507"/>
      <c r="I1014" s="1508"/>
      <c r="J1014" s="1508"/>
      <c r="K1014" s="1509"/>
      <c r="L1014" s="1509"/>
      <c r="M1014" s="1509"/>
      <c r="N1014" s="1509"/>
      <c r="O1014" s="1509"/>
      <c r="P1014" s="1509"/>
      <c r="Q1014" s="1314"/>
      <c r="R1014" s="1314"/>
      <c r="S1014" s="1314"/>
      <c r="T1014" s="1314"/>
      <c r="U1014" s="1314"/>
      <c r="V1014" s="1314"/>
      <c r="W1014" s="1314"/>
      <c r="X1014" s="1314"/>
      <c r="Y1014" s="1314"/>
      <c r="Z1014" s="1314"/>
    </row>
    <row r="1015" spans="1:26" ht="18.75">
      <c r="A1015" s="1393"/>
      <c r="B1015" s="1393"/>
      <c r="C1015" s="1393"/>
      <c r="D1015" s="1506"/>
      <c r="E1015" s="1393"/>
      <c r="F1015" s="1393"/>
      <c r="G1015" s="1393"/>
      <c r="H1015" s="1507"/>
      <c r="I1015" s="1508"/>
      <c r="J1015" s="1508"/>
      <c r="K1015" s="1509"/>
      <c r="L1015" s="1509"/>
      <c r="M1015" s="1509"/>
      <c r="N1015" s="1509"/>
      <c r="O1015" s="1509"/>
      <c r="P1015" s="1509"/>
      <c r="Q1015" s="1314"/>
      <c r="R1015" s="1314"/>
      <c r="S1015" s="1314"/>
      <c r="T1015" s="1314"/>
      <c r="U1015" s="1314"/>
      <c r="V1015" s="1314"/>
      <c r="W1015" s="1314"/>
      <c r="X1015" s="1314"/>
      <c r="Y1015" s="1314"/>
      <c r="Z1015" s="1314"/>
    </row>
    <row r="1016" spans="1:26" ht="18.75">
      <c r="A1016" s="1393"/>
      <c r="B1016" s="1393"/>
      <c r="C1016" s="1393"/>
      <c r="D1016" s="1506"/>
      <c r="E1016" s="1393"/>
      <c r="F1016" s="1393"/>
      <c r="G1016" s="1393"/>
      <c r="H1016" s="1507"/>
      <c r="I1016" s="1508"/>
      <c r="J1016" s="1508"/>
      <c r="K1016" s="1509"/>
      <c r="L1016" s="1509"/>
      <c r="M1016" s="1509"/>
      <c r="N1016" s="1509"/>
      <c r="O1016" s="1509"/>
      <c r="P1016" s="1509"/>
      <c r="Q1016" s="1314"/>
      <c r="R1016" s="1314"/>
      <c r="S1016" s="1314"/>
      <c r="T1016" s="1314"/>
      <c r="U1016" s="1314"/>
      <c r="V1016" s="1314"/>
      <c r="W1016" s="1314"/>
      <c r="X1016" s="1314"/>
      <c r="Y1016" s="1314"/>
      <c r="Z1016" s="1314"/>
    </row>
    <row r="1017" spans="1:26" ht="18.75">
      <c r="A1017" s="1393"/>
      <c r="B1017" s="1393"/>
      <c r="C1017" s="1393"/>
      <c r="D1017" s="1506"/>
      <c r="E1017" s="1393"/>
      <c r="F1017" s="1393"/>
      <c r="G1017" s="1393"/>
      <c r="H1017" s="1507"/>
      <c r="I1017" s="1508"/>
      <c r="J1017" s="1508"/>
      <c r="K1017" s="1509"/>
      <c r="L1017" s="1509"/>
      <c r="M1017" s="1509"/>
      <c r="N1017" s="1509"/>
      <c r="O1017" s="1509"/>
      <c r="P1017" s="1509"/>
      <c r="Q1017" s="1314"/>
      <c r="R1017" s="1314"/>
      <c r="S1017" s="1314"/>
      <c r="T1017" s="1314"/>
      <c r="U1017" s="1314"/>
      <c r="V1017" s="1314"/>
      <c r="W1017" s="1314"/>
      <c r="X1017" s="1314"/>
      <c r="Y1017" s="1314"/>
      <c r="Z1017" s="1314"/>
    </row>
    <row r="1018" spans="1:26" ht="18.75">
      <c r="A1018" s="1393"/>
      <c r="B1018" s="1393"/>
      <c r="C1018" s="1393"/>
      <c r="D1018" s="1506"/>
      <c r="E1018" s="1393"/>
      <c r="F1018" s="1393"/>
      <c r="G1018" s="1393"/>
      <c r="H1018" s="1507"/>
      <c r="I1018" s="1508"/>
      <c r="J1018" s="1508"/>
      <c r="K1018" s="1509"/>
      <c r="L1018" s="1509"/>
      <c r="M1018" s="1509"/>
      <c r="N1018" s="1509"/>
      <c r="O1018" s="1509"/>
      <c r="P1018" s="1509"/>
      <c r="Q1018" s="1314"/>
      <c r="R1018" s="1314"/>
      <c r="S1018" s="1314"/>
      <c r="T1018" s="1314"/>
      <c r="U1018" s="1314"/>
      <c r="V1018" s="1314"/>
      <c r="W1018" s="1314"/>
      <c r="X1018" s="1314"/>
      <c r="Y1018" s="1314"/>
      <c r="Z1018" s="1314"/>
    </row>
    <row r="1019" spans="1:26" ht="18.75">
      <c r="A1019" s="1393"/>
      <c r="B1019" s="1393"/>
      <c r="C1019" s="1393"/>
      <c r="D1019" s="1506"/>
      <c r="E1019" s="1393"/>
      <c r="F1019" s="1393"/>
      <c r="G1019" s="1393"/>
      <c r="H1019" s="1507"/>
      <c r="I1019" s="1508"/>
      <c r="J1019" s="1508"/>
      <c r="K1019" s="1509"/>
      <c r="L1019" s="1509"/>
      <c r="M1019" s="1509"/>
      <c r="N1019" s="1509"/>
      <c r="O1019" s="1509"/>
      <c r="P1019" s="1509"/>
      <c r="Q1019" s="1314"/>
      <c r="R1019" s="1314"/>
      <c r="S1019" s="1314"/>
      <c r="T1019" s="1314"/>
      <c r="U1019" s="1314"/>
      <c r="V1019" s="1314"/>
      <c r="W1019" s="1314"/>
      <c r="X1019" s="1314"/>
      <c r="Y1019" s="1314"/>
      <c r="Z1019" s="1314"/>
    </row>
    <row r="1020" spans="1:26" ht="18.75">
      <c r="A1020" s="1393"/>
      <c r="B1020" s="1393"/>
      <c r="C1020" s="1393"/>
      <c r="D1020" s="1506"/>
      <c r="E1020" s="1393"/>
      <c r="F1020" s="1393"/>
      <c r="G1020" s="1393"/>
      <c r="H1020" s="1507"/>
      <c r="I1020" s="1508"/>
      <c r="J1020" s="1508"/>
      <c r="K1020" s="1509"/>
      <c r="L1020" s="1509"/>
      <c r="M1020" s="1509"/>
      <c r="N1020" s="1509"/>
      <c r="O1020" s="1509"/>
      <c r="P1020" s="1509"/>
      <c r="Q1020" s="1314"/>
      <c r="R1020" s="1314"/>
      <c r="S1020" s="1314"/>
      <c r="T1020" s="1314"/>
      <c r="U1020" s="1314"/>
      <c r="V1020" s="1314"/>
      <c r="W1020" s="1314"/>
      <c r="X1020" s="1314"/>
      <c r="Y1020" s="1314"/>
      <c r="Z1020" s="1314"/>
    </row>
    <row r="1021" spans="1:26" ht="18.75">
      <c r="A1021" s="1393"/>
      <c r="B1021" s="1393"/>
      <c r="C1021" s="1393"/>
      <c r="D1021" s="1506"/>
      <c r="E1021" s="1393"/>
      <c r="F1021" s="1393"/>
      <c r="G1021" s="1393"/>
      <c r="H1021" s="1507"/>
      <c r="I1021" s="1508"/>
      <c r="J1021" s="1508"/>
      <c r="K1021" s="1509"/>
      <c r="L1021" s="1509"/>
      <c r="M1021" s="1509"/>
      <c r="N1021" s="1509"/>
      <c r="O1021" s="1509"/>
      <c r="P1021" s="1509"/>
      <c r="Q1021" s="1314"/>
      <c r="R1021" s="1314"/>
      <c r="S1021" s="1314"/>
      <c r="T1021" s="1314"/>
      <c r="U1021" s="1314"/>
      <c r="V1021" s="1314"/>
      <c r="W1021" s="1314"/>
      <c r="X1021" s="1314"/>
      <c r="Y1021" s="1314"/>
      <c r="Z1021" s="1314"/>
    </row>
    <row r="1022" spans="1:26" ht="18.75">
      <c r="A1022" s="1393"/>
      <c r="B1022" s="1393"/>
      <c r="C1022" s="1393"/>
      <c r="D1022" s="1506"/>
      <c r="E1022" s="1393"/>
      <c r="F1022" s="1393"/>
      <c r="G1022" s="1393"/>
      <c r="H1022" s="1507"/>
      <c r="I1022" s="1508"/>
      <c r="J1022" s="1508"/>
      <c r="K1022" s="1509"/>
      <c r="L1022" s="1509"/>
      <c r="M1022" s="1509"/>
      <c r="N1022" s="1509"/>
      <c r="O1022" s="1509"/>
      <c r="P1022" s="1509"/>
      <c r="Q1022" s="1314"/>
      <c r="R1022" s="1314"/>
      <c r="S1022" s="1314"/>
      <c r="T1022" s="1314"/>
      <c r="U1022" s="1314"/>
      <c r="V1022" s="1314"/>
      <c r="W1022" s="1314"/>
      <c r="X1022" s="1314"/>
      <c r="Y1022" s="1314"/>
      <c r="Z1022" s="1314"/>
    </row>
    <row r="1023" spans="1:26" ht="18.75">
      <c r="A1023" s="1393"/>
      <c r="B1023" s="1393"/>
      <c r="C1023" s="1393"/>
      <c r="D1023" s="1506"/>
      <c r="E1023" s="1393"/>
      <c r="F1023" s="1393"/>
      <c r="G1023" s="1393"/>
      <c r="H1023" s="1507"/>
      <c r="I1023" s="1508"/>
      <c r="J1023" s="1508"/>
      <c r="K1023" s="1509"/>
      <c r="L1023" s="1509"/>
      <c r="M1023" s="1509"/>
      <c r="N1023" s="1509"/>
      <c r="O1023" s="1509"/>
      <c r="P1023" s="1509"/>
      <c r="Q1023" s="1314"/>
      <c r="R1023" s="1314"/>
      <c r="S1023" s="1314"/>
      <c r="T1023" s="1314"/>
      <c r="U1023" s="1314"/>
      <c r="V1023" s="1314"/>
      <c r="W1023" s="1314"/>
      <c r="X1023" s="1314"/>
      <c r="Y1023" s="1314"/>
      <c r="Z1023" s="1314"/>
    </row>
    <row r="1024" spans="1:26" ht="18.75">
      <c r="A1024" s="1393"/>
      <c r="B1024" s="1393"/>
      <c r="C1024" s="1393"/>
      <c r="D1024" s="1506"/>
      <c r="E1024" s="1393"/>
      <c r="F1024" s="1393"/>
      <c r="G1024" s="1393"/>
      <c r="H1024" s="1507"/>
      <c r="I1024" s="1508"/>
      <c r="J1024" s="1508"/>
      <c r="K1024" s="1509"/>
      <c r="L1024" s="1509"/>
      <c r="M1024" s="1509"/>
      <c r="N1024" s="1509"/>
      <c r="O1024" s="1509"/>
      <c r="P1024" s="1509"/>
      <c r="Q1024" s="1314"/>
      <c r="R1024" s="1314"/>
      <c r="S1024" s="1314"/>
      <c r="T1024" s="1314"/>
      <c r="U1024" s="1314"/>
      <c r="V1024" s="1314"/>
      <c r="W1024" s="1314"/>
      <c r="X1024" s="1314"/>
      <c r="Y1024" s="1314"/>
      <c r="Z1024" s="1314"/>
    </row>
    <row r="1025" spans="1:26" ht="18.75">
      <c r="A1025" s="1393"/>
      <c r="B1025" s="1393"/>
      <c r="C1025" s="1393"/>
      <c r="D1025" s="1506"/>
      <c r="E1025" s="1393"/>
      <c r="F1025" s="1393"/>
      <c r="G1025" s="1393"/>
      <c r="H1025" s="1507"/>
      <c r="I1025" s="1508"/>
      <c r="J1025" s="1508"/>
      <c r="K1025" s="1509"/>
      <c r="L1025" s="1509"/>
      <c r="M1025" s="1509"/>
      <c r="N1025" s="1509"/>
      <c r="O1025" s="1509"/>
      <c r="P1025" s="1509"/>
      <c r="Q1025" s="1314"/>
      <c r="R1025" s="1314"/>
      <c r="S1025" s="1314"/>
      <c r="T1025" s="1314"/>
      <c r="U1025" s="1314"/>
      <c r="V1025" s="1314"/>
      <c r="W1025" s="1314"/>
      <c r="X1025" s="1314"/>
      <c r="Y1025" s="1314"/>
      <c r="Z1025" s="1314"/>
    </row>
    <row r="1026" spans="1:26" ht="18.75">
      <c r="A1026" s="1393"/>
      <c r="B1026" s="1393"/>
      <c r="C1026" s="1393"/>
      <c r="D1026" s="1506"/>
      <c r="E1026" s="1393"/>
      <c r="F1026" s="1393"/>
      <c r="G1026" s="1393"/>
      <c r="H1026" s="1507"/>
      <c r="I1026" s="1508"/>
      <c r="J1026" s="1508"/>
      <c r="K1026" s="1509"/>
      <c r="L1026" s="1509"/>
      <c r="M1026" s="1509"/>
      <c r="N1026" s="1509"/>
      <c r="O1026" s="1509"/>
      <c r="P1026" s="1509"/>
      <c r="Q1026" s="1314"/>
      <c r="R1026" s="1314"/>
      <c r="S1026" s="1314"/>
      <c r="T1026" s="1314"/>
      <c r="U1026" s="1314"/>
      <c r="V1026" s="1314"/>
      <c r="W1026" s="1314"/>
      <c r="X1026" s="1314"/>
      <c r="Y1026" s="1314"/>
      <c r="Z1026" s="1314"/>
    </row>
    <row r="1027" spans="1:26" ht="18.75">
      <c r="A1027" s="1393"/>
      <c r="B1027" s="1393"/>
      <c r="C1027" s="1393"/>
      <c r="D1027" s="1506"/>
      <c r="E1027" s="1393"/>
      <c r="F1027" s="1393"/>
      <c r="G1027" s="1393"/>
      <c r="H1027" s="1507"/>
      <c r="I1027" s="1508"/>
      <c r="J1027" s="1508"/>
      <c r="K1027" s="1509"/>
      <c r="L1027" s="1509"/>
      <c r="M1027" s="1509"/>
      <c r="N1027" s="1509"/>
      <c r="O1027" s="1509"/>
      <c r="P1027" s="1509"/>
      <c r="Q1027" s="1314"/>
      <c r="R1027" s="1314"/>
      <c r="S1027" s="1314"/>
      <c r="T1027" s="1314"/>
      <c r="U1027" s="1314"/>
      <c r="V1027" s="1314"/>
      <c r="W1027" s="1314"/>
      <c r="X1027" s="1314"/>
      <c r="Y1027" s="1314"/>
      <c r="Z1027" s="1314"/>
    </row>
    <row r="1028" spans="1:26" ht="18.75">
      <c r="A1028" s="1393"/>
      <c r="B1028" s="1393"/>
      <c r="C1028" s="1393"/>
      <c r="D1028" s="1506"/>
      <c r="E1028" s="1393"/>
      <c r="F1028" s="1393"/>
      <c r="G1028" s="1393"/>
      <c r="H1028" s="1507"/>
      <c r="I1028" s="1508"/>
      <c r="J1028" s="1508"/>
      <c r="K1028" s="1509"/>
      <c r="L1028" s="1509"/>
      <c r="M1028" s="1509"/>
      <c r="N1028" s="1509"/>
      <c r="O1028" s="1509"/>
      <c r="P1028" s="1509"/>
      <c r="Q1028" s="1314"/>
      <c r="R1028" s="1314"/>
      <c r="S1028" s="1314"/>
      <c r="T1028" s="1314"/>
      <c r="U1028" s="1314"/>
      <c r="V1028" s="1314"/>
      <c r="W1028" s="1314"/>
      <c r="X1028" s="1314"/>
      <c r="Y1028" s="1314"/>
      <c r="Z1028" s="1314"/>
    </row>
    <row r="1029" spans="1:26" ht="18.75">
      <c r="A1029" s="1393"/>
      <c r="B1029" s="1393"/>
      <c r="C1029" s="1393"/>
      <c r="D1029" s="1506"/>
      <c r="E1029" s="1393"/>
      <c r="F1029" s="1393"/>
      <c r="G1029" s="1393"/>
      <c r="H1029" s="1507"/>
      <c r="I1029" s="1508"/>
      <c r="J1029" s="1508"/>
      <c r="K1029" s="1509"/>
      <c r="L1029" s="1509"/>
      <c r="M1029" s="1509"/>
      <c r="N1029" s="1509"/>
      <c r="O1029" s="1509"/>
      <c r="P1029" s="1509"/>
      <c r="Q1029" s="1314"/>
      <c r="R1029" s="1314"/>
      <c r="S1029" s="1314"/>
      <c r="T1029" s="1314"/>
      <c r="U1029" s="1314"/>
      <c r="V1029" s="1314"/>
      <c r="W1029" s="1314"/>
      <c r="X1029" s="1314"/>
      <c r="Y1029" s="1314"/>
      <c r="Z1029" s="1314"/>
    </row>
    <row r="1030" spans="1:26" ht="18.75">
      <c r="A1030" s="1393"/>
      <c r="B1030" s="1393"/>
      <c r="C1030" s="1393"/>
      <c r="D1030" s="1506"/>
      <c r="E1030" s="1393"/>
      <c r="F1030" s="1393"/>
      <c r="G1030" s="1393"/>
      <c r="H1030" s="1507"/>
      <c r="I1030" s="1508"/>
      <c r="J1030" s="1508"/>
      <c r="K1030" s="1509"/>
      <c r="L1030" s="1509"/>
      <c r="M1030" s="1509"/>
      <c r="N1030" s="1509"/>
      <c r="O1030" s="1509"/>
      <c r="P1030" s="1509"/>
      <c r="Q1030" s="1314"/>
      <c r="R1030" s="1314"/>
      <c r="S1030" s="1314"/>
      <c r="T1030" s="1314"/>
      <c r="U1030" s="1314"/>
      <c r="V1030" s="1314"/>
      <c r="W1030" s="1314"/>
      <c r="X1030" s="1314"/>
      <c r="Y1030" s="1314"/>
      <c r="Z1030" s="1314"/>
    </row>
    <row r="1031" spans="1:26" ht="18.75">
      <c r="A1031" s="1393"/>
      <c r="B1031" s="1393"/>
      <c r="C1031" s="1393"/>
      <c r="D1031" s="1506"/>
      <c r="E1031" s="1393"/>
      <c r="F1031" s="1393"/>
      <c r="G1031" s="1393"/>
      <c r="H1031" s="1507"/>
      <c r="I1031" s="1508"/>
      <c r="J1031" s="1508"/>
      <c r="K1031" s="1509"/>
      <c r="L1031" s="1509"/>
      <c r="M1031" s="1509"/>
      <c r="N1031" s="1509"/>
      <c r="O1031" s="1509"/>
      <c r="P1031" s="1509"/>
      <c r="Q1031" s="1314"/>
      <c r="R1031" s="1314"/>
      <c r="S1031" s="1314"/>
      <c r="T1031" s="1314"/>
      <c r="U1031" s="1314"/>
      <c r="V1031" s="1314"/>
      <c r="W1031" s="1314"/>
      <c r="X1031" s="1314"/>
      <c r="Y1031" s="1314"/>
      <c r="Z1031" s="1314"/>
    </row>
    <row r="1032" spans="1:26" ht="18.75">
      <c r="A1032" s="1393"/>
      <c r="B1032" s="1393"/>
      <c r="C1032" s="1393"/>
      <c r="D1032" s="1506"/>
      <c r="E1032" s="1393"/>
      <c r="F1032" s="1393"/>
      <c r="G1032" s="1393"/>
      <c r="H1032" s="1507"/>
      <c r="I1032" s="1508"/>
      <c r="J1032" s="1508"/>
      <c r="K1032" s="1509"/>
      <c r="L1032" s="1509"/>
      <c r="M1032" s="1509"/>
      <c r="N1032" s="1509"/>
      <c r="O1032" s="1509"/>
      <c r="P1032" s="1509"/>
      <c r="Q1032" s="1314"/>
      <c r="R1032" s="1314"/>
      <c r="S1032" s="1314"/>
      <c r="T1032" s="1314"/>
      <c r="U1032" s="1314"/>
      <c r="V1032" s="1314"/>
      <c r="W1032" s="1314"/>
      <c r="X1032" s="1314"/>
      <c r="Y1032" s="1314"/>
      <c r="Z1032" s="1314"/>
    </row>
    <row r="1033" spans="1:26" ht="18.75">
      <c r="A1033" s="1393"/>
      <c r="B1033" s="1393"/>
      <c r="C1033" s="1393"/>
      <c r="D1033" s="1506"/>
      <c r="E1033" s="1393"/>
      <c r="F1033" s="1393"/>
      <c r="G1033" s="1393"/>
      <c r="H1033" s="1507"/>
      <c r="I1033" s="1508"/>
      <c r="J1033" s="1508"/>
      <c r="K1033" s="1509"/>
      <c r="L1033" s="1509"/>
      <c r="M1033" s="1509"/>
      <c r="N1033" s="1509"/>
      <c r="O1033" s="1509"/>
      <c r="P1033" s="1509"/>
      <c r="Q1033" s="1314"/>
      <c r="R1033" s="1314"/>
      <c r="S1033" s="1314"/>
      <c r="T1033" s="1314"/>
      <c r="U1033" s="1314"/>
      <c r="V1033" s="1314"/>
      <c r="W1033" s="1314"/>
      <c r="X1033" s="1314"/>
      <c r="Y1033" s="1314"/>
      <c r="Z1033" s="1314"/>
    </row>
    <row r="1034" spans="1:26" ht="18.75">
      <c r="A1034" s="1393"/>
      <c r="B1034" s="1393"/>
      <c r="C1034" s="1393"/>
      <c r="D1034" s="1506"/>
      <c r="E1034" s="1393"/>
      <c r="F1034" s="1393"/>
      <c r="G1034" s="1393"/>
      <c r="H1034" s="1507"/>
      <c r="I1034" s="1508"/>
      <c r="J1034" s="1508"/>
      <c r="K1034" s="1509"/>
      <c r="L1034" s="1509"/>
      <c r="M1034" s="1509"/>
      <c r="N1034" s="1509"/>
      <c r="O1034" s="1509"/>
      <c r="P1034" s="1509"/>
      <c r="Q1034" s="1314"/>
      <c r="R1034" s="1314"/>
      <c r="S1034" s="1314"/>
      <c r="T1034" s="1314"/>
      <c r="U1034" s="1314"/>
      <c r="V1034" s="1314"/>
      <c r="W1034" s="1314"/>
      <c r="X1034" s="1314"/>
      <c r="Y1034" s="1314"/>
      <c r="Z1034" s="1314"/>
    </row>
    <row r="1035" spans="1:26" ht="18.75">
      <c r="A1035" s="1393"/>
      <c r="B1035" s="1393"/>
      <c r="C1035" s="1393"/>
      <c r="D1035" s="1506"/>
      <c r="E1035" s="1393"/>
      <c r="F1035" s="1393"/>
      <c r="G1035" s="1393"/>
      <c r="H1035" s="1507"/>
      <c r="I1035" s="1508"/>
      <c r="J1035" s="1508"/>
      <c r="K1035" s="1509"/>
      <c r="L1035" s="1509"/>
      <c r="M1035" s="1509"/>
      <c r="N1035" s="1509"/>
      <c r="O1035" s="1509"/>
      <c r="P1035" s="1509"/>
      <c r="Q1035" s="1314"/>
      <c r="R1035" s="1314"/>
      <c r="S1035" s="1314"/>
      <c r="T1035" s="1314"/>
      <c r="U1035" s="1314"/>
      <c r="V1035" s="1314"/>
      <c r="W1035" s="1314"/>
      <c r="X1035" s="1314"/>
      <c r="Y1035" s="1314"/>
      <c r="Z1035" s="1314"/>
    </row>
    <row r="1036" spans="1:26" ht="18.75">
      <c r="A1036" s="1393"/>
      <c r="B1036" s="1393"/>
      <c r="C1036" s="1393"/>
      <c r="D1036" s="1506"/>
      <c r="E1036" s="1393"/>
      <c r="F1036" s="1393"/>
      <c r="G1036" s="1393"/>
      <c r="H1036" s="1507"/>
      <c r="I1036" s="1508"/>
      <c r="J1036" s="1508"/>
      <c r="K1036" s="1509"/>
      <c r="L1036" s="1509"/>
      <c r="M1036" s="1509"/>
      <c r="N1036" s="1509"/>
      <c r="O1036" s="1509"/>
      <c r="P1036" s="1509"/>
      <c r="Q1036" s="1314"/>
      <c r="R1036" s="1314"/>
      <c r="S1036" s="1314"/>
      <c r="T1036" s="1314"/>
      <c r="U1036" s="1314"/>
      <c r="V1036" s="1314"/>
      <c r="W1036" s="1314"/>
      <c r="X1036" s="1314"/>
      <c r="Y1036" s="1314"/>
      <c r="Z1036" s="1314"/>
    </row>
    <row r="1037" spans="1:26" ht="18.75">
      <c r="A1037" s="1393"/>
      <c r="B1037" s="1393"/>
      <c r="C1037" s="1393"/>
      <c r="D1037" s="1506"/>
      <c r="E1037" s="1393"/>
      <c r="F1037" s="1393"/>
      <c r="G1037" s="1393"/>
      <c r="H1037" s="1507"/>
      <c r="I1037" s="1508"/>
      <c r="J1037" s="1508"/>
      <c r="K1037" s="1509"/>
      <c r="L1037" s="1509"/>
      <c r="M1037" s="1509"/>
      <c r="N1037" s="1509"/>
      <c r="O1037" s="1509"/>
      <c r="P1037" s="1509"/>
      <c r="Q1037" s="1314"/>
      <c r="R1037" s="1314"/>
      <c r="S1037" s="1314"/>
      <c r="T1037" s="1314"/>
      <c r="U1037" s="1314"/>
      <c r="V1037" s="1314"/>
      <c r="W1037" s="1314"/>
      <c r="X1037" s="1314"/>
      <c r="Y1037" s="1314"/>
      <c r="Z1037" s="1314"/>
    </row>
    <row r="1038" spans="1:26" ht="18.75">
      <c r="A1038" s="1393"/>
      <c r="B1038" s="1393"/>
      <c r="C1038" s="1393"/>
      <c r="D1038" s="1506"/>
      <c r="E1038" s="1393"/>
      <c r="F1038" s="1393"/>
      <c r="G1038" s="1393"/>
      <c r="H1038" s="1507"/>
      <c r="I1038" s="1508"/>
      <c r="J1038" s="1508"/>
      <c r="K1038" s="1509"/>
      <c r="L1038" s="1509"/>
      <c r="M1038" s="1509"/>
      <c r="N1038" s="1509"/>
      <c r="O1038" s="1509"/>
      <c r="P1038" s="1509"/>
      <c r="Q1038" s="1314"/>
      <c r="R1038" s="1314"/>
      <c r="S1038" s="1314"/>
      <c r="T1038" s="1314"/>
      <c r="U1038" s="1314"/>
      <c r="V1038" s="1314"/>
      <c r="W1038" s="1314"/>
      <c r="X1038" s="1314"/>
      <c r="Y1038" s="1314"/>
      <c r="Z1038" s="1314"/>
    </row>
    <row r="1039" spans="1:26" ht="18.75">
      <c r="A1039" s="1393"/>
      <c r="B1039" s="1393"/>
      <c r="C1039" s="1393"/>
      <c r="D1039" s="1506"/>
      <c r="E1039" s="1393"/>
      <c r="F1039" s="1393"/>
      <c r="G1039" s="1393"/>
      <c r="H1039" s="1507"/>
      <c r="I1039" s="1508"/>
      <c r="J1039" s="1508"/>
      <c r="K1039" s="1509"/>
      <c r="L1039" s="1509"/>
      <c r="M1039" s="1509"/>
      <c r="N1039" s="1509"/>
      <c r="O1039" s="1509"/>
      <c r="P1039" s="1509"/>
      <c r="Q1039" s="1314"/>
      <c r="R1039" s="1314"/>
      <c r="S1039" s="1314"/>
      <c r="T1039" s="1314"/>
      <c r="U1039" s="1314"/>
      <c r="V1039" s="1314"/>
      <c r="W1039" s="1314"/>
      <c r="X1039" s="1314"/>
      <c r="Y1039" s="1314"/>
      <c r="Z1039" s="1314"/>
    </row>
    <row r="1040" spans="1:26" ht="18.75">
      <c r="A1040" s="1393"/>
      <c r="B1040" s="1393"/>
      <c r="C1040" s="1393"/>
      <c r="D1040" s="1506"/>
      <c r="E1040" s="1393"/>
      <c r="F1040" s="1393"/>
      <c r="G1040" s="1393"/>
      <c r="H1040" s="1507"/>
      <c r="I1040" s="1508"/>
      <c r="J1040" s="1508"/>
      <c r="K1040" s="1509"/>
      <c r="L1040" s="1509"/>
      <c r="M1040" s="1509"/>
      <c r="N1040" s="1509"/>
      <c r="O1040" s="1509"/>
      <c r="P1040" s="1509"/>
      <c r="Q1040" s="1314"/>
      <c r="R1040" s="1314"/>
      <c r="S1040" s="1314"/>
      <c r="T1040" s="1314"/>
      <c r="U1040" s="1314"/>
      <c r="V1040" s="1314"/>
      <c r="W1040" s="1314"/>
      <c r="X1040" s="1314"/>
      <c r="Y1040" s="1314"/>
      <c r="Z1040" s="1314"/>
    </row>
    <row r="1041" spans="1:26" ht="18.75">
      <c r="A1041" s="1393"/>
      <c r="B1041" s="1393"/>
      <c r="C1041" s="1393"/>
      <c r="D1041" s="1506"/>
      <c r="E1041" s="1393"/>
      <c r="F1041" s="1393"/>
      <c r="G1041" s="1393"/>
      <c r="H1041" s="1507"/>
      <c r="I1041" s="1508"/>
      <c r="J1041" s="1508"/>
      <c r="K1041" s="1509"/>
      <c r="L1041" s="1509"/>
      <c r="M1041" s="1509"/>
      <c r="N1041" s="1509"/>
      <c r="O1041" s="1509"/>
      <c r="P1041" s="1509"/>
      <c r="Q1041" s="1314"/>
      <c r="R1041" s="1314"/>
      <c r="S1041" s="1314"/>
      <c r="T1041" s="1314"/>
      <c r="U1041" s="1314"/>
      <c r="V1041" s="1314"/>
      <c r="W1041" s="1314"/>
      <c r="X1041" s="1314"/>
      <c r="Y1041" s="1314"/>
      <c r="Z1041" s="1314"/>
    </row>
    <row r="1042" spans="1:26" ht="18.75">
      <c r="A1042" s="1393"/>
      <c r="B1042" s="1393"/>
      <c r="C1042" s="1393"/>
      <c r="D1042" s="1506"/>
      <c r="E1042" s="1393"/>
      <c r="F1042" s="1393"/>
      <c r="G1042" s="1393"/>
      <c r="H1042" s="1507"/>
      <c r="I1042" s="1508"/>
      <c r="J1042" s="1508"/>
      <c r="K1042" s="1509"/>
      <c r="L1042" s="1509"/>
      <c r="M1042" s="1509"/>
      <c r="N1042" s="1509"/>
      <c r="O1042" s="1509"/>
      <c r="P1042" s="1509"/>
      <c r="Q1042" s="1314"/>
      <c r="R1042" s="1314"/>
      <c r="S1042" s="1314"/>
      <c r="T1042" s="1314"/>
      <c r="U1042" s="1314"/>
      <c r="V1042" s="1314"/>
      <c r="W1042" s="1314"/>
      <c r="X1042" s="1314"/>
      <c r="Y1042" s="1314"/>
      <c r="Z1042" s="1314"/>
    </row>
    <row r="1043" spans="1:26" ht="18.75">
      <c r="A1043" s="1393"/>
      <c r="B1043" s="1393"/>
      <c r="C1043" s="1393"/>
      <c r="D1043" s="1506"/>
      <c r="E1043" s="1393"/>
      <c r="F1043" s="1393"/>
      <c r="G1043" s="1393"/>
      <c r="H1043" s="1507"/>
      <c r="I1043" s="1508"/>
      <c r="J1043" s="1508"/>
      <c r="K1043" s="1509"/>
      <c r="L1043" s="1509"/>
      <c r="M1043" s="1509"/>
      <c r="N1043" s="1509"/>
      <c r="O1043" s="1509"/>
      <c r="P1043" s="1509"/>
      <c r="Q1043" s="1314"/>
      <c r="R1043" s="1314"/>
      <c r="S1043" s="1314"/>
      <c r="T1043" s="1314"/>
      <c r="U1043" s="1314"/>
      <c r="V1043" s="1314"/>
      <c r="W1043" s="1314"/>
      <c r="X1043" s="1314"/>
      <c r="Y1043" s="1314"/>
      <c r="Z1043" s="1314"/>
    </row>
    <row r="1044" spans="1:26" ht="18.75">
      <c r="A1044" s="1393"/>
      <c r="B1044" s="1393"/>
      <c r="C1044" s="1393"/>
      <c r="D1044" s="1506"/>
      <c r="E1044" s="1393"/>
      <c r="F1044" s="1393"/>
      <c r="G1044" s="1393"/>
      <c r="H1044" s="1507"/>
      <c r="I1044" s="1508"/>
      <c r="J1044" s="1508"/>
      <c r="K1044" s="1509"/>
      <c r="L1044" s="1509"/>
      <c r="M1044" s="1509"/>
      <c r="N1044" s="1509"/>
      <c r="O1044" s="1509"/>
      <c r="P1044" s="1509"/>
      <c r="Q1044" s="1314"/>
      <c r="R1044" s="1314"/>
      <c r="S1044" s="1314"/>
      <c r="T1044" s="1314"/>
      <c r="U1044" s="1314"/>
      <c r="V1044" s="1314"/>
      <c r="W1044" s="1314"/>
      <c r="X1044" s="1314"/>
      <c r="Y1044" s="1314"/>
      <c r="Z1044" s="1314"/>
    </row>
    <row r="1045" spans="1:26" ht="18.75">
      <c r="A1045" s="1393"/>
      <c r="B1045" s="1393"/>
      <c r="C1045" s="1393"/>
      <c r="D1045" s="1506"/>
      <c r="E1045" s="1393"/>
      <c r="F1045" s="1393"/>
      <c r="G1045" s="1393"/>
      <c r="H1045" s="1507"/>
      <c r="I1045" s="1508"/>
      <c r="J1045" s="1508"/>
      <c r="K1045" s="1509"/>
      <c r="L1045" s="1509"/>
      <c r="M1045" s="1509"/>
      <c r="N1045" s="1509"/>
      <c r="O1045" s="1509"/>
      <c r="P1045" s="1509"/>
      <c r="Q1045" s="1314"/>
      <c r="R1045" s="1314"/>
      <c r="S1045" s="1314"/>
      <c r="T1045" s="1314"/>
      <c r="U1045" s="1314"/>
      <c r="V1045" s="1314"/>
      <c r="W1045" s="1314"/>
      <c r="X1045" s="1314"/>
      <c r="Y1045" s="1314"/>
      <c r="Z1045" s="1314"/>
    </row>
    <row r="1046" spans="1:26" ht="18.75">
      <c r="A1046" s="1393"/>
      <c r="B1046" s="1393"/>
      <c r="C1046" s="1393"/>
      <c r="D1046" s="1506"/>
      <c r="E1046" s="1393"/>
      <c r="F1046" s="1393"/>
      <c r="G1046" s="1393"/>
      <c r="H1046" s="1507"/>
      <c r="I1046" s="1508"/>
      <c r="J1046" s="1508"/>
      <c r="K1046" s="1509"/>
      <c r="L1046" s="1509"/>
      <c r="M1046" s="1509"/>
      <c r="N1046" s="1509"/>
      <c r="O1046" s="1509"/>
      <c r="P1046" s="1509"/>
      <c r="Q1046" s="1314"/>
      <c r="R1046" s="1314"/>
      <c r="S1046" s="1314"/>
      <c r="T1046" s="1314"/>
      <c r="U1046" s="1314"/>
      <c r="V1046" s="1314"/>
      <c r="W1046" s="1314"/>
      <c r="X1046" s="1314"/>
      <c r="Y1046" s="1314"/>
      <c r="Z1046" s="1314"/>
    </row>
    <row r="1047" spans="1:26" ht="18.75">
      <c r="A1047" s="1393"/>
      <c r="B1047" s="1393"/>
      <c r="C1047" s="1393"/>
      <c r="D1047" s="1506"/>
      <c r="E1047" s="1393"/>
      <c r="F1047" s="1393"/>
      <c r="G1047" s="1393"/>
      <c r="H1047" s="1507"/>
      <c r="I1047" s="1508"/>
      <c r="J1047" s="1508"/>
      <c r="K1047" s="1509"/>
      <c r="L1047" s="1509"/>
      <c r="M1047" s="1509"/>
      <c r="N1047" s="1509"/>
      <c r="O1047" s="1509"/>
      <c r="P1047" s="1509"/>
      <c r="Q1047" s="1314"/>
      <c r="R1047" s="1314"/>
      <c r="S1047" s="1314"/>
      <c r="T1047" s="1314"/>
      <c r="U1047" s="1314"/>
      <c r="V1047" s="1314"/>
      <c r="W1047" s="1314"/>
      <c r="X1047" s="1314"/>
      <c r="Y1047" s="1314"/>
      <c r="Z1047" s="1314"/>
    </row>
    <row r="1048" spans="1:26" ht="18.75">
      <c r="A1048" s="1393"/>
      <c r="B1048" s="1393"/>
      <c r="C1048" s="1393"/>
      <c r="D1048" s="1506"/>
      <c r="E1048" s="1393"/>
      <c r="F1048" s="1393"/>
      <c r="G1048" s="1393"/>
      <c r="H1048" s="1507"/>
      <c r="I1048" s="1508"/>
      <c r="J1048" s="1508"/>
      <c r="K1048" s="1509"/>
      <c r="L1048" s="1509"/>
      <c r="M1048" s="1509"/>
      <c r="N1048" s="1509"/>
      <c r="O1048" s="1509"/>
      <c r="P1048" s="1509"/>
      <c r="Q1048" s="1314"/>
      <c r="R1048" s="1314"/>
      <c r="S1048" s="1314"/>
      <c r="T1048" s="1314"/>
      <c r="U1048" s="1314"/>
      <c r="V1048" s="1314"/>
      <c r="W1048" s="1314"/>
      <c r="X1048" s="1314"/>
      <c r="Y1048" s="1314"/>
      <c r="Z1048" s="1314"/>
    </row>
    <row r="1049" spans="1:26" ht="18.75">
      <c r="A1049" s="1393"/>
      <c r="B1049" s="1393"/>
      <c r="C1049" s="1393"/>
      <c r="D1049" s="1506"/>
      <c r="E1049" s="1393"/>
      <c r="F1049" s="1393"/>
      <c r="G1049" s="1393"/>
      <c r="H1049" s="1507"/>
      <c r="I1049" s="1508"/>
      <c r="J1049" s="1508"/>
      <c r="K1049" s="1509"/>
      <c r="L1049" s="1509"/>
      <c r="M1049" s="1509"/>
      <c r="N1049" s="1509"/>
      <c r="O1049" s="1509"/>
      <c r="P1049" s="1509"/>
      <c r="Q1049" s="1314"/>
      <c r="R1049" s="1314"/>
      <c r="S1049" s="1314"/>
      <c r="T1049" s="1314"/>
      <c r="U1049" s="1314"/>
      <c r="V1049" s="1314"/>
      <c r="W1049" s="1314"/>
      <c r="X1049" s="1314"/>
      <c r="Y1049" s="1314"/>
      <c r="Z1049" s="1314"/>
    </row>
    <row r="1050" spans="1:26" ht="18.75">
      <c r="A1050" s="1393"/>
      <c r="B1050" s="1393"/>
      <c r="C1050" s="1393"/>
      <c r="D1050" s="1506"/>
      <c r="E1050" s="1393"/>
      <c r="F1050" s="1393"/>
      <c r="G1050" s="1393"/>
      <c r="H1050" s="1507"/>
      <c r="I1050" s="1508"/>
      <c r="J1050" s="1508"/>
      <c r="K1050" s="1509"/>
      <c r="L1050" s="1509"/>
      <c r="M1050" s="1509"/>
      <c r="N1050" s="1509"/>
      <c r="O1050" s="1509"/>
      <c r="P1050" s="1509"/>
      <c r="Q1050" s="1314"/>
      <c r="R1050" s="1314"/>
      <c r="S1050" s="1314"/>
      <c r="T1050" s="1314"/>
      <c r="U1050" s="1314"/>
      <c r="V1050" s="1314"/>
      <c r="W1050" s="1314"/>
      <c r="X1050" s="1314"/>
      <c r="Y1050" s="1314"/>
      <c r="Z1050" s="1314"/>
    </row>
    <row r="1051" spans="1:26" ht="18.75">
      <c r="A1051" s="1393"/>
      <c r="B1051" s="1393"/>
      <c r="C1051" s="1393"/>
      <c r="D1051" s="1506"/>
      <c r="E1051" s="1393"/>
      <c r="F1051" s="1393"/>
      <c r="G1051" s="1393"/>
      <c r="H1051" s="1507"/>
      <c r="I1051" s="1508"/>
      <c r="J1051" s="1508"/>
      <c r="K1051" s="1509"/>
      <c r="L1051" s="1509"/>
      <c r="M1051" s="1509"/>
      <c r="N1051" s="1509"/>
      <c r="O1051" s="1509"/>
      <c r="P1051" s="1509"/>
      <c r="Q1051" s="1314"/>
      <c r="R1051" s="1314"/>
      <c r="S1051" s="1314"/>
      <c r="T1051" s="1314"/>
      <c r="U1051" s="1314"/>
      <c r="V1051" s="1314"/>
      <c r="W1051" s="1314"/>
      <c r="X1051" s="1314"/>
      <c r="Y1051" s="1314"/>
      <c r="Z1051" s="1314"/>
    </row>
    <row r="1052" spans="1:26" ht="18.75">
      <c r="A1052" s="1393"/>
      <c r="B1052" s="1393"/>
      <c r="C1052" s="1393"/>
      <c r="D1052" s="1506"/>
      <c r="E1052" s="1393"/>
      <c r="F1052" s="1393"/>
      <c r="G1052" s="1393"/>
      <c r="H1052" s="1507"/>
      <c r="I1052" s="1508"/>
      <c r="J1052" s="1508"/>
      <c r="K1052" s="1509"/>
      <c r="L1052" s="1509"/>
      <c r="M1052" s="1509"/>
      <c r="N1052" s="1509"/>
      <c r="O1052" s="1509"/>
      <c r="P1052" s="1509"/>
      <c r="Q1052" s="1314"/>
      <c r="R1052" s="1314"/>
      <c r="S1052" s="1314"/>
      <c r="T1052" s="1314"/>
      <c r="U1052" s="1314"/>
      <c r="V1052" s="1314"/>
      <c r="W1052" s="1314"/>
      <c r="X1052" s="1314"/>
      <c r="Y1052" s="1314"/>
      <c r="Z1052" s="1314"/>
    </row>
    <row r="1053" spans="1:26" ht="18.75">
      <c r="A1053" s="1393"/>
      <c r="B1053" s="1393"/>
      <c r="C1053" s="1393"/>
      <c r="D1053" s="1506"/>
      <c r="E1053" s="1393"/>
      <c r="F1053" s="1393"/>
      <c r="G1053" s="1393"/>
      <c r="H1053" s="1507"/>
      <c r="I1053" s="1508"/>
      <c r="J1053" s="1508"/>
      <c r="K1053" s="1509"/>
      <c r="L1053" s="1509"/>
      <c r="M1053" s="1509"/>
      <c r="N1053" s="1509"/>
      <c r="O1053" s="1509"/>
      <c r="P1053" s="1509"/>
      <c r="Q1053" s="1314"/>
      <c r="R1053" s="1314"/>
      <c r="S1053" s="1314"/>
      <c r="T1053" s="1314"/>
      <c r="U1053" s="1314"/>
      <c r="V1053" s="1314"/>
      <c r="W1053" s="1314"/>
      <c r="X1053" s="1314"/>
      <c r="Y1053" s="1314"/>
      <c r="Z1053" s="1314"/>
    </row>
    <row r="1054" spans="1:26" ht="18.75">
      <c r="A1054" s="1393"/>
      <c r="B1054" s="1393"/>
      <c r="C1054" s="1393"/>
      <c r="D1054" s="1506"/>
      <c r="E1054" s="1393"/>
      <c r="F1054" s="1393"/>
      <c r="G1054" s="1393"/>
      <c r="H1054" s="1507"/>
      <c r="I1054" s="1508"/>
      <c r="J1054" s="1508"/>
      <c r="K1054" s="1509"/>
      <c r="L1054" s="1509"/>
      <c r="M1054" s="1509"/>
      <c r="N1054" s="1509"/>
      <c r="O1054" s="1509"/>
      <c r="P1054" s="1509"/>
      <c r="Q1054" s="1314"/>
      <c r="R1054" s="1314"/>
      <c r="S1054" s="1314"/>
      <c r="T1054" s="1314"/>
      <c r="U1054" s="1314"/>
      <c r="V1054" s="1314"/>
      <c r="W1054" s="1314"/>
      <c r="X1054" s="1314"/>
      <c r="Y1054" s="1314"/>
      <c r="Z1054" s="1314"/>
    </row>
    <row r="1055" spans="1:26" ht="18.75">
      <c r="A1055" s="1393"/>
      <c r="B1055" s="1393"/>
      <c r="C1055" s="1393"/>
      <c r="D1055" s="1506"/>
      <c r="E1055" s="1393"/>
      <c r="F1055" s="1393"/>
      <c r="G1055" s="1393"/>
      <c r="H1055" s="1507"/>
      <c r="I1055" s="1508"/>
      <c r="J1055" s="1508"/>
      <c r="K1055" s="1509"/>
      <c r="L1055" s="1509"/>
      <c r="M1055" s="1509"/>
      <c r="N1055" s="1509"/>
      <c r="O1055" s="1509"/>
      <c r="P1055" s="1509"/>
      <c r="Q1055" s="1314"/>
      <c r="R1055" s="1314"/>
      <c r="S1055" s="1314"/>
      <c r="T1055" s="1314"/>
      <c r="U1055" s="1314"/>
      <c r="V1055" s="1314"/>
      <c r="W1055" s="1314"/>
      <c r="X1055" s="1314"/>
      <c r="Y1055" s="1314"/>
      <c r="Z1055" s="1314"/>
    </row>
    <row r="1056" spans="1:26" ht="18.75">
      <c r="A1056" s="1393"/>
      <c r="B1056" s="1393"/>
      <c r="C1056" s="1393"/>
      <c r="D1056" s="1506"/>
      <c r="E1056" s="1393"/>
      <c r="F1056" s="1393"/>
      <c r="G1056" s="1393"/>
      <c r="H1056" s="1507"/>
      <c r="I1056" s="1508"/>
      <c r="J1056" s="1508"/>
      <c r="K1056" s="1509"/>
      <c r="L1056" s="1509"/>
      <c r="M1056" s="1509"/>
      <c r="N1056" s="1509"/>
      <c r="O1056" s="1509"/>
      <c r="P1056" s="1509"/>
      <c r="Q1056" s="1314"/>
      <c r="R1056" s="1314"/>
      <c r="S1056" s="1314"/>
      <c r="T1056" s="1314"/>
      <c r="U1056" s="1314"/>
      <c r="V1056" s="1314"/>
      <c r="W1056" s="1314"/>
      <c r="X1056" s="1314"/>
      <c r="Y1056" s="1314"/>
      <c r="Z1056" s="1314"/>
    </row>
    <row r="1057" spans="1:26" ht="18.75">
      <c r="A1057" s="1393"/>
      <c r="B1057" s="1393"/>
      <c r="C1057" s="1393"/>
      <c r="D1057" s="1506"/>
      <c r="E1057" s="1393"/>
      <c r="F1057" s="1393"/>
      <c r="G1057" s="1393"/>
      <c r="H1057" s="1507"/>
      <c r="I1057" s="1508"/>
      <c r="J1057" s="1508"/>
      <c r="K1057" s="1509"/>
      <c r="L1057" s="1509"/>
      <c r="M1057" s="1509"/>
      <c r="N1057" s="1509"/>
      <c r="O1057" s="1509"/>
      <c r="P1057" s="1509"/>
      <c r="Q1057" s="1314"/>
      <c r="R1057" s="1314"/>
      <c r="S1057" s="1314"/>
      <c r="T1057" s="1314"/>
      <c r="U1057" s="1314"/>
      <c r="V1057" s="1314"/>
      <c r="W1057" s="1314"/>
      <c r="X1057" s="1314"/>
      <c r="Y1057" s="1314"/>
      <c r="Z1057" s="1314"/>
    </row>
    <row r="1058" spans="1:26" ht="18.75">
      <c r="A1058" s="1393"/>
      <c r="B1058" s="1393"/>
      <c r="C1058" s="1393"/>
      <c r="D1058" s="1506"/>
      <c r="E1058" s="1393"/>
      <c r="F1058" s="1393"/>
      <c r="G1058" s="1393"/>
      <c r="H1058" s="1507"/>
      <c r="I1058" s="1508"/>
      <c r="J1058" s="1508"/>
      <c r="K1058" s="1509"/>
      <c r="L1058" s="1509"/>
      <c r="M1058" s="1509"/>
      <c r="N1058" s="1509"/>
      <c r="O1058" s="1509"/>
      <c r="P1058" s="1509"/>
      <c r="Q1058" s="1314"/>
      <c r="R1058" s="1314"/>
      <c r="S1058" s="1314"/>
      <c r="T1058" s="1314"/>
      <c r="U1058" s="1314"/>
      <c r="V1058" s="1314"/>
      <c r="W1058" s="1314"/>
      <c r="X1058" s="1314"/>
      <c r="Y1058" s="1314"/>
      <c r="Z1058" s="1314"/>
    </row>
    <row r="1059" spans="1:26" ht="18.75">
      <c r="A1059" s="1393"/>
      <c r="B1059" s="1393"/>
      <c r="C1059" s="1393"/>
      <c r="D1059" s="1506"/>
      <c r="E1059" s="1393"/>
      <c r="F1059" s="1393"/>
      <c r="G1059" s="1393"/>
      <c r="H1059" s="1507"/>
      <c r="I1059" s="1508"/>
      <c r="J1059" s="1508"/>
      <c r="K1059" s="1509"/>
      <c r="L1059" s="1509"/>
      <c r="M1059" s="1509"/>
      <c r="N1059" s="1509"/>
      <c r="O1059" s="1509"/>
      <c r="P1059" s="1509"/>
      <c r="Q1059" s="1314"/>
      <c r="R1059" s="1314"/>
      <c r="S1059" s="1314"/>
      <c r="T1059" s="1314"/>
      <c r="U1059" s="1314"/>
      <c r="V1059" s="1314"/>
      <c r="W1059" s="1314"/>
      <c r="X1059" s="1314"/>
      <c r="Y1059" s="1314"/>
      <c r="Z1059" s="1314"/>
    </row>
    <row r="1060" spans="1:26" ht="18.75">
      <c r="A1060" s="1393"/>
      <c r="B1060" s="1393"/>
      <c r="C1060" s="1393"/>
      <c r="D1060" s="1506"/>
      <c r="E1060" s="1393"/>
      <c r="F1060" s="1393"/>
      <c r="G1060" s="1393"/>
      <c r="H1060" s="1507"/>
      <c r="I1060" s="1508"/>
      <c r="J1060" s="1508"/>
      <c r="K1060" s="1509"/>
      <c r="L1060" s="1509"/>
      <c r="M1060" s="1509"/>
      <c r="N1060" s="1509"/>
      <c r="O1060" s="1509"/>
      <c r="P1060" s="1509"/>
      <c r="Q1060" s="1314"/>
      <c r="R1060" s="1314"/>
      <c r="S1060" s="1314"/>
      <c r="T1060" s="1314"/>
      <c r="U1060" s="1314"/>
      <c r="V1060" s="1314"/>
      <c r="W1060" s="1314"/>
      <c r="X1060" s="1314"/>
      <c r="Y1060" s="1314"/>
      <c r="Z1060" s="1314"/>
    </row>
    <row r="1061" spans="1:26" ht="18.75">
      <c r="A1061" s="1393"/>
      <c r="B1061" s="1393"/>
      <c r="C1061" s="1393"/>
      <c r="D1061" s="1506"/>
      <c r="E1061" s="1393"/>
      <c r="F1061" s="1393"/>
      <c r="G1061" s="1393"/>
      <c r="H1061" s="1507"/>
      <c r="I1061" s="1508"/>
      <c r="J1061" s="1508"/>
      <c r="K1061" s="1509"/>
      <c r="L1061" s="1509"/>
      <c r="M1061" s="1509"/>
      <c r="N1061" s="1509"/>
      <c r="O1061" s="1509"/>
      <c r="P1061" s="1509"/>
      <c r="Q1061" s="1314"/>
      <c r="R1061" s="1314"/>
      <c r="S1061" s="1314"/>
      <c r="T1061" s="1314"/>
      <c r="U1061" s="1314"/>
      <c r="V1061" s="1314"/>
      <c r="W1061" s="1314"/>
      <c r="X1061" s="1314"/>
      <c r="Y1061" s="1314"/>
      <c r="Z1061" s="1314"/>
    </row>
    <row r="1062" spans="1:26" ht="18.75">
      <c r="A1062" s="1393"/>
      <c r="B1062" s="1393"/>
      <c r="C1062" s="1393"/>
      <c r="D1062" s="1506"/>
      <c r="E1062" s="1393"/>
      <c r="F1062" s="1393"/>
      <c r="G1062" s="1393"/>
      <c r="H1062" s="1507"/>
      <c r="I1062" s="1508"/>
      <c r="J1062" s="1508"/>
      <c r="K1062" s="1509"/>
      <c r="L1062" s="1509"/>
      <c r="M1062" s="1509"/>
      <c r="N1062" s="1509"/>
      <c r="O1062" s="1509"/>
      <c r="P1062" s="1509"/>
      <c r="Q1062" s="1314"/>
      <c r="R1062" s="1314"/>
      <c r="S1062" s="1314"/>
      <c r="T1062" s="1314"/>
      <c r="U1062" s="1314"/>
      <c r="V1062" s="1314"/>
      <c r="W1062" s="1314"/>
      <c r="X1062" s="1314"/>
      <c r="Y1062" s="1314"/>
      <c r="Z1062" s="1314"/>
    </row>
    <row r="1063" spans="1:26" ht="18.75">
      <c r="A1063" s="1393"/>
      <c r="B1063" s="1393"/>
      <c r="C1063" s="1393"/>
      <c r="D1063" s="1506"/>
      <c r="E1063" s="1393"/>
      <c r="F1063" s="1393"/>
      <c r="G1063" s="1393"/>
      <c r="H1063" s="1507"/>
      <c r="I1063" s="1508"/>
      <c r="J1063" s="1508"/>
      <c r="K1063" s="1509"/>
      <c r="L1063" s="1509"/>
      <c r="M1063" s="1509"/>
      <c r="N1063" s="1509"/>
      <c r="O1063" s="1509"/>
      <c r="P1063" s="1509"/>
      <c r="Q1063" s="1314"/>
      <c r="R1063" s="1314"/>
      <c r="S1063" s="1314"/>
      <c r="T1063" s="1314"/>
      <c r="U1063" s="1314"/>
      <c r="V1063" s="1314"/>
      <c r="W1063" s="1314"/>
      <c r="X1063" s="1314"/>
      <c r="Y1063" s="1314"/>
      <c r="Z1063" s="1314"/>
    </row>
    <row r="1064" spans="1:26" ht="18.75">
      <c r="A1064" s="1393"/>
      <c r="B1064" s="1393"/>
      <c r="C1064" s="1393"/>
      <c r="D1064" s="1506"/>
      <c r="E1064" s="1393"/>
      <c r="F1064" s="1393"/>
      <c r="G1064" s="1393"/>
      <c r="H1064" s="1507"/>
      <c r="I1064" s="1508"/>
      <c r="J1064" s="1508"/>
      <c r="K1064" s="1509"/>
      <c r="L1064" s="1509"/>
      <c r="M1064" s="1509"/>
      <c r="N1064" s="1509"/>
      <c r="O1064" s="1509"/>
      <c r="P1064" s="1509"/>
      <c r="Q1064" s="1314"/>
      <c r="R1064" s="1314"/>
      <c r="S1064" s="1314"/>
      <c r="T1064" s="1314"/>
      <c r="U1064" s="1314"/>
      <c r="V1064" s="1314"/>
      <c r="W1064" s="1314"/>
      <c r="X1064" s="1314"/>
      <c r="Y1064" s="1314"/>
      <c r="Z1064" s="1314"/>
    </row>
    <row r="1065" spans="1:26" ht="18.75">
      <c r="A1065" s="1393"/>
      <c r="B1065" s="1393"/>
      <c r="C1065" s="1393"/>
      <c r="D1065" s="1506"/>
      <c r="E1065" s="1393"/>
      <c r="F1065" s="1393"/>
      <c r="G1065" s="1393"/>
      <c r="H1065" s="1507"/>
      <c r="I1065" s="1508"/>
      <c r="J1065" s="1508"/>
      <c r="K1065" s="1509"/>
      <c r="L1065" s="1509"/>
      <c r="M1065" s="1509"/>
      <c r="N1065" s="1509"/>
      <c r="O1065" s="1509"/>
      <c r="P1065" s="1509"/>
      <c r="Q1065" s="1314"/>
      <c r="R1065" s="1314"/>
      <c r="S1065" s="1314"/>
      <c r="T1065" s="1314"/>
      <c r="U1065" s="1314"/>
      <c r="V1065" s="1314"/>
      <c r="W1065" s="1314"/>
      <c r="X1065" s="1314"/>
      <c r="Y1065" s="1314"/>
      <c r="Z1065" s="1314"/>
    </row>
    <row r="1066" spans="1:26" ht="18.75">
      <c r="A1066" s="1393"/>
      <c r="B1066" s="1393"/>
      <c r="C1066" s="1393"/>
      <c r="D1066" s="1506"/>
      <c r="E1066" s="1393"/>
      <c r="F1066" s="1393"/>
      <c r="G1066" s="1393"/>
      <c r="H1066" s="1507"/>
      <c r="I1066" s="1508"/>
      <c r="J1066" s="1508"/>
      <c r="K1066" s="1509"/>
      <c r="L1066" s="1509"/>
      <c r="M1066" s="1509"/>
      <c r="N1066" s="1509"/>
      <c r="O1066" s="1509"/>
      <c r="P1066" s="1509"/>
      <c r="Q1066" s="1314"/>
      <c r="R1066" s="1314"/>
      <c r="S1066" s="1314"/>
      <c r="T1066" s="1314"/>
      <c r="U1066" s="1314"/>
      <c r="V1066" s="1314"/>
      <c r="W1066" s="1314"/>
      <c r="X1066" s="1314"/>
      <c r="Y1066" s="1314"/>
      <c r="Z1066" s="1314"/>
    </row>
    <row r="1067" spans="1:26" ht="18.75">
      <c r="A1067" s="1393"/>
      <c r="B1067" s="1393"/>
      <c r="C1067" s="1393"/>
      <c r="D1067" s="1506"/>
      <c r="E1067" s="1393"/>
      <c r="F1067" s="1393"/>
      <c r="G1067" s="1393"/>
      <c r="H1067" s="1507"/>
      <c r="I1067" s="1508"/>
      <c r="J1067" s="1508"/>
      <c r="K1067" s="1509"/>
      <c r="L1067" s="1509"/>
      <c r="M1067" s="1509"/>
      <c r="N1067" s="1509"/>
      <c r="O1067" s="1509"/>
      <c r="P1067" s="1509"/>
      <c r="Q1067" s="1314"/>
      <c r="R1067" s="1314"/>
      <c r="S1067" s="1314"/>
      <c r="T1067" s="1314"/>
      <c r="U1067" s="1314"/>
      <c r="V1067" s="1314"/>
      <c r="W1067" s="1314"/>
      <c r="X1067" s="1314"/>
      <c r="Y1067" s="1314"/>
      <c r="Z1067" s="1314"/>
    </row>
    <row r="1068" spans="1:26" ht="18.75">
      <c r="A1068" s="1393"/>
      <c r="B1068" s="1393"/>
      <c r="C1068" s="1393"/>
      <c r="D1068" s="1506"/>
      <c r="E1068" s="1393"/>
      <c r="F1068" s="1393"/>
      <c r="G1068" s="1393"/>
      <c r="H1068" s="1507"/>
      <c r="I1068" s="1508"/>
      <c r="J1068" s="1508"/>
      <c r="K1068" s="1509"/>
      <c r="L1068" s="1509"/>
      <c r="M1068" s="1509"/>
      <c r="N1068" s="1509"/>
      <c r="O1068" s="1509"/>
      <c r="P1068" s="1509"/>
      <c r="Q1068" s="1314"/>
      <c r="R1068" s="1314"/>
      <c r="S1068" s="1314"/>
      <c r="T1068" s="1314"/>
      <c r="U1068" s="1314"/>
      <c r="V1068" s="1314"/>
      <c r="W1068" s="1314"/>
      <c r="X1068" s="1314"/>
      <c r="Y1068" s="1314"/>
      <c r="Z1068" s="1314"/>
    </row>
    <row r="1069" spans="1:26" ht="18.75">
      <c r="A1069" s="1393"/>
      <c r="B1069" s="1393"/>
      <c r="C1069" s="1393"/>
      <c r="D1069" s="1506"/>
      <c r="E1069" s="1393"/>
      <c r="F1069" s="1393"/>
      <c r="G1069" s="1393"/>
      <c r="H1069" s="1507"/>
      <c r="I1069" s="1508"/>
      <c r="J1069" s="1508"/>
      <c r="K1069" s="1509"/>
      <c r="L1069" s="1509"/>
      <c r="M1069" s="1509"/>
      <c r="N1069" s="1509"/>
      <c r="O1069" s="1509"/>
      <c r="P1069" s="1509"/>
      <c r="Q1069" s="1314"/>
      <c r="R1069" s="1314"/>
      <c r="S1069" s="1314"/>
      <c r="T1069" s="1314"/>
      <c r="U1069" s="1314"/>
      <c r="V1069" s="1314"/>
      <c r="W1069" s="1314"/>
      <c r="X1069" s="1314"/>
      <c r="Y1069" s="1314"/>
      <c r="Z1069" s="1314"/>
    </row>
    <row r="1070" spans="1:26" ht="18.75">
      <c r="A1070" s="1393"/>
      <c r="B1070" s="1393"/>
      <c r="C1070" s="1393"/>
      <c r="D1070" s="1506"/>
      <c r="E1070" s="1393"/>
      <c r="F1070" s="1393"/>
      <c r="G1070" s="1393"/>
      <c r="H1070" s="1507"/>
      <c r="I1070" s="1508"/>
      <c r="J1070" s="1508"/>
      <c r="K1070" s="1509"/>
      <c r="L1070" s="1509"/>
      <c r="M1070" s="1509"/>
      <c r="N1070" s="1509"/>
      <c r="O1070" s="1509"/>
      <c r="P1070" s="1509"/>
      <c r="Q1070" s="1314"/>
      <c r="R1070" s="1314"/>
      <c r="S1070" s="1314"/>
      <c r="T1070" s="1314"/>
      <c r="U1070" s="1314"/>
      <c r="V1070" s="1314"/>
      <c r="W1070" s="1314"/>
      <c r="X1070" s="1314"/>
      <c r="Y1070" s="1314"/>
      <c r="Z1070" s="1314"/>
    </row>
    <row r="1071" spans="1:26" ht="18.75">
      <c r="A1071" s="1393"/>
      <c r="B1071" s="1393"/>
      <c r="C1071" s="1393"/>
      <c r="D1071" s="1506"/>
      <c r="E1071" s="1393"/>
      <c r="F1071" s="1393"/>
      <c r="G1071" s="1393"/>
      <c r="H1071" s="1507"/>
      <c r="I1071" s="1508"/>
      <c r="J1071" s="1508"/>
      <c r="K1071" s="1509"/>
      <c r="L1071" s="1509"/>
      <c r="M1071" s="1509"/>
      <c r="N1071" s="1509"/>
      <c r="O1071" s="1509"/>
      <c r="P1071" s="1509"/>
      <c r="Q1071" s="1314"/>
      <c r="R1071" s="1314"/>
      <c r="S1071" s="1314"/>
      <c r="T1071" s="1314"/>
      <c r="U1071" s="1314"/>
      <c r="V1071" s="1314"/>
      <c r="W1071" s="1314"/>
      <c r="X1071" s="1314"/>
      <c r="Y1071" s="1314"/>
      <c r="Z1071" s="1314"/>
    </row>
    <row r="1072" spans="1:26" ht="18.75">
      <c r="A1072" s="1393"/>
      <c r="B1072" s="1393"/>
      <c r="C1072" s="1393"/>
      <c r="D1072" s="1506"/>
      <c r="E1072" s="1393"/>
      <c r="F1072" s="1393"/>
      <c r="G1072" s="1393"/>
      <c r="H1072" s="1507"/>
      <c r="I1072" s="1508"/>
      <c r="J1072" s="1508"/>
      <c r="K1072" s="1509"/>
      <c r="L1072" s="1509"/>
      <c r="M1072" s="1509"/>
      <c r="N1072" s="1509"/>
      <c r="O1072" s="1509"/>
      <c r="P1072" s="1509"/>
      <c r="Q1072" s="1314"/>
      <c r="R1072" s="1314"/>
      <c r="S1072" s="1314"/>
      <c r="T1072" s="1314"/>
      <c r="U1072" s="1314"/>
      <c r="V1072" s="1314"/>
      <c r="W1072" s="1314"/>
      <c r="X1072" s="1314"/>
      <c r="Y1072" s="1314"/>
      <c r="Z1072" s="1314"/>
    </row>
    <row r="1073" spans="1:26" ht="18.75">
      <c r="A1073" s="1393"/>
      <c r="B1073" s="1393"/>
      <c r="C1073" s="1393"/>
      <c r="D1073" s="1506"/>
      <c r="E1073" s="1393"/>
      <c r="F1073" s="1393"/>
      <c r="G1073" s="1393"/>
      <c r="H1073" s="1507"/>
      <c r="I1073" s="1508"/>
      <c r="J1073" s="1508"/>
      <c r="K1073" s="1509"/>
      <c r="L1073" s="1509"/>
      <c r="M1073" s="1509"/>
      <c r="N1073" s="1509"/>
      <c r="O1073" s="1509"/>
      <c r="P1073" s="1509"/>
      <c r="Q1073" s="1314"/>
      <c r="R1073" s="1314"/>
      <c r="S1073" s="1314"/>
      <c r="T1073" s="1314"/>
      <c r="U1073" s="1314"/>
      <c r="V1073" s="1314"/>
      <c r="W1073" s="1314"/>
      <c r="X1073" s="1314"/>
      <c r="Y1073" s="1314"/>
      <c r="Z1073" s="1314"/>
    </row>
    <row r="1074" spans="1:26" ht="18.75">
      <c r="A1074" s="1393"/>
      <c r="B1074" s="1393"/>
      <c r="C1074" s="1393"/>
      <c r="D1074" s="1506"/>
      <c r="E1074" s="1393"/>
      <c r="F1074" s="1393"/>
      <c r="G1074" s="1393"/>
      <c r="H1074" s="1507"/>
      <c r="I1074" s="1508"/>
      <c r="J1074" s="1508"/>
      <c r="K1074" s="1509"/>
      <c r="L1074" s="1509"/>
      <c r="M1074" s="1509"/>
      <c r="N1074" s="1509"/>
      <c r="O1074" s="1509"/>
      <c r="P1074" s="1509"/>
      <c r="Q1074" s="1314"/>
      <c r="R1074" s="1314"/>
      <c r="S1074" s="1314"/>
      <c r="T1074" s="1314"/>
      <c r="U1074" s="1314"/>
      <c r="V1074" s="1314"/>
      <c r="W1074" s="1314"/>
      <c r="X1074" s="1314"/>
      <c r="Y1074" s="1314"/>
      <c r="Z1074" s="1314"/>
    </row>
    <row r="1075" spans="1:26" ht="18.75">
      <c r="A1075" s="1393"/>
      <c r="B1075" s="1393"/>
      <c r="C1075" s="1393"/>
      <c r="D1075" s="1506"/>
      <c r="E1075" s="1393"/>
      <c r="F1075" s="1393"/>
      <c r="G1075" s="1393"/>
      <c r="H1075" s="1507"/>
      <c r="I1075" s="1508"/>
      <c r="J1075" s="1508"/>
      <c r="K1075" s="1509"/>
      <c r="L1075" s="1509"/>
      <c r="M1075" s="1509"/>
      <c r="N1075" s="1509"/>
      <c r="O1075" s="1509"/>
      <c r="P1075" s="1509"/>
      <c r="Q1075" s="1314"/>
      <c r="R1075" s="1314"/>
      <c r="S1075" s="1314"/>
      <c r="T1075" s="1314"/>
      <c r="U1075" s="1314"/>
      <c r="V1075" s="1314"/>
      <c r="W1075" s="1314"/>
      <c r="X1075" s="1314"/>
      <c r="Y1075" s="1314"/>
      <c r="Z1075" s="1314"/>
    </row>
    <row r="1076" spans="1:26" ht="18.75">
      <c r="A1076" s="1393"/>
      <c r="B1076" s="1393"/>
      <c r="C1076" s="1393"/>
      <c r="D1076" s="1506"/>
      <c r="E1076" s="1393"/>
      <c r="F1076" s="1393"/>
      <c r="G1076" s="1393"/>
      <c r="H1076" s="1507"/>
      <c r="I1076" s="1508"/>
      <c r="J1076" s="1508"/>
      <c r="K1076" s="1509"/>
      <c r="L1076" s="1509"/>
      <c r="M1076" s="1509"/>
      <c r="N1076" s="1509"/>
      <c r="O1076" s="1509"/>
      <c r="P1076" s="1509"/>
      <c r="Q1076" s="1314"/>
      <c r="R1076" s="1314"/>
      <c r="S1076" s="1314"/>
      <c r="T1076" s="1314"/>
      <c r="U1076" s="1314"/>
      <c r="V1076" s="1314"/>
      <c r="W1076" s="1314"/>
      <c r="X1076" s="1314"/>
      <c r="Y1076" s="1314"/>
      <c r="Z1076" s="1314"/>
    </row>
    <row r="1077" spans="1:26" ht="18.75">
      <c r="A1077" s="1393"/>
      <c r="B1077" s="1393"/>
      <c r="C1077" s="1393"/>
      <c r="D1077" s="1506"/>
      <c r="E1077" s="1393"/>
      <c r="F1077" s="1393"/>
      <c r="G1077" s="1393"/>
      <c r="H1077" s="1507"/>
      <c r="I1077" s="1508"/>
      <c r="J1077" s="1508"/>
      <c r="K1077" s="1509"/>
      <c r="L1077" s="1509"/>
      <c r="M1077" s="1509"/>
      <c r="N1077" s="1509"/>
      <c r="O1077" s="1509"/>
      <c r="P1077" s="1509"/>
      <c r="Q1077" s="1314"/>
      <c r="R1077" s="1314"/>
      <c r="S1077" s="1314"/>
      <c r="T1077" s="1314"/>
      <c r="U1077" s="1314"/>
      <c r="V1077" s="1314"/>
      <c r="W1077" s="1314"/>
      <c r="X1077" s="1314"/>
      <c r="Y1077" s="1314"/>
      <c r="Z1077" s="1314"/>
    </row>
    <row r="1078" spans="1:26" ht="18.75">
      <c r="A1078" s="1393"/>
      <c r="B1078" s="1393"/>
      <c r="C1078" s="1393"/>
      <c r="D1078" s="1506"/>
      <c r="E1078" s="1393"/>
      <c r="F1078" s="1393"/>
      <c r="G1078" s="1393"/>
      <c r="H1078" s="1507"/>
      <c r="I1078" s="1508"/>
      <c r="J1078" s="1508"/>
      <c r="K1078" s="1509"/>
      <c r="L1078" s="1509"/>
      <c r="M1078" s="1509"/>
      <c r="N1078" s="1509"/>
      <c r="O1078" s="1509"/>
      <c r="P1078" s="1509"/>
      <c r="Q1078" s="1314"/>
      <c r="R1078" s="1314"/>
      <c r="S1078" s="1314"/>
      <c r="T1078" s="1314"/>
      <c r="U1078" s="1314"/>
      <c r="V1078" s="1314"/>
      <c r="W1078" s="1314"/>
      <c r="X1078" s="1314"/>
      <c r="Y1078" s="1314"/>
      <c r="Z1078" s="1314"/>
    </row>
    <row r="1079" spans="1:26" ht="18.75">
      <c r="A1079" s="1393"/>
      <c r="B1079" s="1393"/>
      <c r="C1079" s="1393"/>
      <c r="D1079" s="1506"/>
      <c r="E1079" s="1393"/>
      <c r="F1079" s="1393"/>
      <c r="G1079" s="1393"/>
      <c r="H1079" s="1507"/>
      <c r="I1079" s="1508"/>
      <c r="J1079" s="1508"/>
      <c r="K1079" s="1509"/>
      <c r="L1079" s="1509"/>
      <c r="M1079" s="1509"/>
      <c r="N1079" s="1509"/>
      <c r="O1079" s="1509"/>
      <c r="P1079" s="1509"/>
      <c r="Q1079" s="1314"/>
      <c r="R1079" s="1314"/>
      <c r="S1079" s="1314"/>
      <c r="T1079" s="1314"/>
      <c r="U1079" s="1314"/>
      <c r="V1079" s="1314"/>
      <c r="W1079" s="1314"/>
      <c r="X1079" s="1314"/>
      <c r="Y1079" s="1314"/>
      <c r="Z1079" s="1314"/>
    </row>
    <row r="1080" spans="1:26" ht="18.75">
      <c r="A1080" s="1393"/>
      <c r="B1080" s="1393"/>
      <c r="C1080" s="1393"/>
      <c r="D1080" s="1506"/>
      <c r="E1080" s="1393"/>
      <c r="F1080" s="1393"/>
      <c r="G1080" s="1393"/>
      <c r="H1080" s="1507"/>
      <c r="I1080" s="1508"/>
      <c r="J1080" s="1508"/>
      <c r="K1080" s="1509"/>
      <c r="L1080" s="1509"/>
      <c r="M1080" s="1509"/>
      <c r="N1080" s="1509"/>
      <c r="O1080" s="1509"/>
      <c r="P1080" s="1509"/>
      <c r="Q1080" s="1314"/>
      <c r="R1080" s="1314"/>
      <c r="S1080" s="1314"/>
      <c r="T1080" s="1314"/>
      <c r="U1080" s="1314"/>
      <c r="V1080" s="1314"/>
      <c r="W1080" s="1314"/>
      <c r="X1080" s="1314"/>
      <c r="Y1080" s="1314"/>
      <c r="Z1080" s="1314"/>
    </row>
    <row r="1081" spans="1:26" ht="18.75">
      <c r="A1081" s="1393"/>
      <c r="B1081" s="1393"/>
      <c r="C1081" s="1393"/>
      <c r="D1081" s="1506"/>
      <c r="E1081" s="1393"/>
      <c r="F1081" s="1393"/>
      <c r="G1081" s="1393"/>
      <c r="H1081" s="1507"/>
      <c r="I1081" s="1508"/>
      <c r="J1081" s="1508"/>
      <c r="K1081" s="1509"/>
      <c r="L1081" s="1509"/>
      <c r="M1081" s="1509"/>
      <c r="N1081" s="1509"/>
      <c r="O1081" s="1509"/>
      <c r="P1081" s="1509"/>
      <c r="Q1081" s="1314"/>
      <c r="R1081" s="1314"/>
      <c r="S1081" s="1314"/>
      <c r="T1081" s="1314"/>
      <c r="U1081" s="1314"/>
      <c r="V1081" s="1314"/>
      <c r="W1081" s="1314"/>
      <c r="X1081" s="1314"/>
      <c r="Y1081" s="1314"/>
      <c r="Z1081" s="1314"/>
    </row>
    <row r="1082" spans="1:26" ht="18.75">
      <c r="A1082" s="1393"/>
      <c r="B1082" s="1393"/>
      <c r="C1082" s="1393"/>
      <c r="D1082" s="1506"/>
      <c r="E1082" s="1393"/>
      <c r="F1082" s="1393"/>
      <c r="G1082" s="1393"/>
      <c r="H1082" s="1507"/>
      <c r="I1082" s="1508"/>
      <c r="J1082" s="1508"/>
      <c r="K1082" s="1509"/>
      <c r="L1082" s="1509"/>
      <c r="M1082" s="1509"/>
      <c r="N1082" s="1509"/>
      <c r="O1082" s="1509"/>
      <c r="P1082" s="1509"/>
      <c r="Q1082" s="1314"/>
      <c r="R1082" s="1314"/>
      <c r="S1082" s="1314"/>
      <c r="T1082" s="1314"/>
      <c r="U1082" s="1314"/>
      <c r="V1082" s="1314"/>
      <c r="W1082" s="1314"/>
      <c r="X1082" s="1314"/>
      <c r="Y1082" s="1314"/>
      <c r="Z1082" s="1314"/>
    </row>
    <row r="1083" spans="1:26" ht="18.75">
      <c r="A1083" s="1393"/>
      <c r="B1083" s="1393"/>
      <c r="C1083" s="1393"/>
      <c r="D1083" s="1506"/>
      <c r="E1083" s="1393"/>
      <c r="F1083" s="1393"/>
      <c r="G1083" s="1393"/>
      <c r="H1083" s="1507"/>
      <c r="I1083" s="1508"/>
      <c r="J1083" s="1508"/>
      <c r="K1083" s="1509"/>
      <c r="L1083" s="1509"/>
      <c r="M1083" s="1509"/>
      <c r="N1083" s="1509"/>
      <c r="O1083" s="1509"/>
      <c r="P1083" s="1509"/>
      <c r="Q1083" s="1314"/>
      <c r="R1083" s="1314"/>
      <c r="S1083" s="1314"/>
      <c r="T1083" s="1314"/>
      <c r="U1083" s="1314"/>
      <c r="V1083" s="1314"/>
      <c r="W1083" s="1314"/>
      <c r="X1083" s="1314"/>
      <c r="Y1083" s="1314"/>
      <c r="Z1083" s="1314"/>
    </row>
    <row r="1084" spans="1:26" ht="18.75">
      <c r="A1084" s="1393"/>
      <c r="B1084" s="1393"/>
      <c r="C1084" s="1393"/>
      <c r="D1084" s="1506"/>
      <c r="E1084" s="1393"/>
      <c r="F1084" s="1393"/>
      <c r="G1084" s="1393"/>
      <c r="H1084" s="1507"/>
      <c r="I1084" s="1508"/>
      <c r="J1084" s="1508"/>
      <c r="K1084" s="1509"/>
      <c r="L1084" s="1509"/>
      <c r="M1084" s="1509"/>
      <c r="N1084" s="1509"/>
      <c r="O1084" s="1509"/>
      <c r="P1084" s="1509"/>
      <c r="Q1084" s="1314"/>
      <c r="R1084" s="1314"/>
      <c r="S1084" s="1314"/>
      <c r="T1084" s="1314"/>
      <c r="U1084" s="1314"/>
      <c r="V1084" s="1314"/>
      <c r="W1084" s="1314"/>
      <c r="X1084" s="1314"/>
      <c r="Y1084" s="1314"/>
      <c r="Z1084" s="1314"/>
    </row>
    <row r="1085" spans="1:26" ht="18.75">
      <c r="A1085" s="1393"/>
      <c r="B1085" s="1393"/>
      <c r="C1085" s="1393"/>
      <c r="D1085" s="1506"/>
      <c r="E1085" s="1393"/>
      <c r="F1085" s="1393"/>
      <c r="G1085" s="1393"/>
      <c r="H1085" s="1507"/>
      <c r="I1085" s="1508"/>
      <c r="J1085" s="1508"/>
      <c r="K1085" s="1509"/>
      <c r="L1085" s="1509"/>
      <c r="M1085" s="1509"/>
      <c r="N1085" s="1509"/>
      <c r="O1085" s="1509"/>
      <c r="P1085" s="1509"/>
      <c r="Q1085" s="1314"/>
      <c r="R1085" s="1314"/>
      <c r="S1085" s="1314"/>
      <c r="T1085" s="1314"/>
      <c r="U1085" s="1314"/>
      <c r="V1085" s="1314"/>
      <c r="W1085" s="1314"/>
      <c r="X1085" s="1314"/>
      <c r="Y1085" s="1314"/>
      <c r="Z1085" s="1314"/>
    </row>
    <row r="1086" spans="1:26" ht="18.75">
      <c r="A1086" s="1393"/>
      <c r="B1086" s="1393"/>
      <c r="C1086" s="1393"/>
      <c r="D1086" s="1506"/>
      <c r="E1086" s="1393"/>
      <c r="F1086" s="1393"/>
      <c r="G1086" s="1393"/>
      <c r="H1086" s="1507"/>
      <c r="I1086" s="1508"/>
      <c r="J1086" s="1508"/>
      <c r="K1086" s="1509"/>
      <c r="L1086" s="1509"/>
      <c r="M1086" s="1509"/>
      <c r="N1086" s="1509"/>
      <c r="O1086" s="1509"/>
      <c r="P1086" s="1509"/>
      <c r="Q1086" s="1314"/>
      <c r="R1086" s="1314"/>
      <c r="S1086" s="1314"/>
      <c r="T1086" s="1314"/>
      <c r="U1086" s="1314"/>
      <c r="V1086" s="1314"/>
      <c r="W1086" s="1314"/>
      <c r="X1086" s="1314"/>
      <c r="Y1086" s="1314"/>
      <c r="Z1086" s="1314"/>
    </row>
    <row r="1087" spans="1:26" ht="18.75">
      <c r="A1087" s="1393"/>
      <c r="B1087" s="1393"/>
      <c r="C1087" s="1393"/>
      <c r="D1087" s="1506"/>
      <c r="E1087" s="1393"/>
      <c r="F1087" s="1393"/>
      <c r="G1087" s="1393"/>
      <c r="H1087" s="1507"/>
      <c r="I1087" s="1508"/>
      <c r="J1087" s="1508"/>
      <c r="K1087" s="1509"/>
      <c r="L1087" s="1509"/>
      <c r="M1087" s="1509"/>
      <c r="N1087" s="1509"/>
      <c r="O1087" s="1509"/>
      <c r="P1087" s="1509"/>
      <c r="Q1087" s="1314"/>
      <c r="R1087" s="1314"/>
      <c r="S1087" s="1314"/>
      <c r="T1087" s="1314"/>
      <c r="U1087" s="1314"/>
      <c r="V1087" s="1314"/>
      <c r="W1087" s="1314"/>
      <c r="X1087" s="1314"/>
      <c r="Y1087" s="1314"/>
      <c r="Z1087" s="1314"/>
    </row>
    <row r="1088" spans="1:26" ht="18.75">
      <c r="A1088" s="1393"/>
      <c r="B1088" s="1393"/>
      <c r="C1088" s="1393"/>
      <c r="D1088" s="1506"/>
      <c r="E1088" s="1393"/>
      <c r="F1088" s="1393"/>
      <c r="G1088" s="1393"/>
      <c r="H1088" s="1507"/>
      <c r="I1088" s="1508"/>
      <c r="J1088" s="1508"/>
      <c r="K1088" s="1509"/>
      <c r="L1088" s="1509"/>
      <c r="M1088" s="1509"/>
      <c r="N1088" s="1509"/>
      <c r="O1088" s="1509"/>
      <c r="P1088" s="1509"/>
      <c r="Q1088" s="1314"/>
      <c r="R1088" s="1314"/>
      <c r="S1088" s="1314"/>
      <c r="T1088" s="1314"/>
      <c r="U1088" s="1314"/>
      <c r="V1088" s="1314"/>
      <c r="W1088" s="1314"/>
      <c r="X1088" s="1314"/>
      <c r="Y1088" s="1314"/>
      <c r="Z1088" s="1314"/>
    </row>
    <row r="1089" spans="1:26" ht="18.75">
      <c r="A1089" s="1393"/>
      <c r="B1089" s="1393"/>
      <c r="C1089" s="1393"/>
      <c r="D1089" s="1506"/>
      <c r="E1089" s="1393"/>
      <c r="F1089" s="1393"/>
      <c r="G1089" s="1393"/>
      <c r="H1089" s="1507"/>
      <c r="I1089" s="1508"/>
      <c r="J1089" s="1508"/>
      <c r="K1089" s="1509"/>
      <c r="L1089" s="1509"/>
      <c r="M1089" s="1509"/>
      <c r="N1089" s="1509"/>
      <c r="O1089" s="1509"/>
      <c r="P1089" s="1509"/>
      <c r="Q1089" s="1314"/>
      <c r="R1089" s="1314"/>
      <c r="S1089" s="1314"/>
      <c r="T1089" s="1314"/>
      <c r="U1089" s="1314"/>
      <c r="V1089" s="1314"/>
      <c r="W1089" s="1314"/>
      <c r="X1089" s="1314"/>
      <c r="Y1089" s="1314"/>
      <c r="Z1089" s="1314"/>
    </row>
    <row r="1090" spans="1:26" ht="18.75">
      <c r="A1090" s="1393"/>
      <c r="B1090" s="1393"/>
      <c r="C1090" s="1393"/>
      <c r="D1090" s="1506"/>
      <c r="E1090" s="1393"/>
      <c r="F1090" s="1393"/>
      <c r="G1090" s="1393"/>
      <c r="H1090" s="1507"/>
      <c r="I1090" s="1508"/>
      <c r="J1090" s="1508"/>
      <c r="K1090" s="1509"/>
      <c r="L1090" s="1509"/>
      <c r="M1090" s="1509"/>
      <c r="N1090" s="1509"/>
      <c r="O1090" s="1509"/>
      <c r="P1090" s="1509"/>
      <c r="Q1090" s="1314"/>
      <c r="R1090" s="1314"/>
      <c r="S1090" s="1314"/>
      <c r="T1090" s="1314"/>
      <c r="U1090" s="1314"/>
      <c r="V1090" s="1314"/>
      <c r="W1090" s="1314"/>
      <c r="X1090" s="1314"/>
      <c r="Y1090" s="1314"/>
      <c r="Z1090" s="1314"/>
    </row>
    <row r="1091" spans="1:26" ht="18.75">
      <c r="A1091" s="1393"/>
      <c r="B1091" s="1393"/>
      <c r="C1091" s="1393"/>
      <c r="D1091" s="1506"/>
      <c r="E1091" s="1393"/>
      <c r="F1091" s="1393"/>
      <c r="G1091" s="1393"/>
      <c r="H1091" s="1507"/>
      <c r="I1091" s="1508"/>
      <c r="J1091" s="1508"/>
      <c r="K1091" s="1509"/>
      <c r="L1091" s="1509"/>
      <c r="M1091" s="1509"/>
      <c r="N1091" s="1509"/>
      <c r="O1091" s="1509"/>
      <c r="P1091" s="1509"/>
      <c r="Q1091" s="1314"/>
      <c r="R1091" s="1314"/>
      <c r="S1091" s="1314"/>
      <c r="T1091" s="1314"/>
      <c r="U1091" s="1314"/>
      <c r="V1091" s="1314"/>
      <c r="W1091" s="1314"/>
      <c r="X1091" s="1314"/>
      <c r="Y1091" s="1314"/>
      <c r="Z1091" s="1314"/>
    </row>
    <row r="1092" spans="1:26" ht="18.75">
      <c r="A1092" s="1393"/>
      <c r="B1092" s="1393"/>
      <c r="C1092" s="1393"/>
      <c r="D1092" s="1506"/>
      <c r="E1092" s="1393"/>
      <c r="F1092" s="1393"/>
      <c r="G1092" s="1393"/>
      <c r="H1092" s="1507"/>
      <c r="I1092" s="1508"/>
      <c r="J1092" s="1508"/>
      <c r="K1092" s="1509"/>
      <c r="L1092" s="1509"/>
      <c r="M1092" s="1509"/>
      <c r="N1092" s="1509"/>
      <c r="O1092" s="1509"/>
      <c r="P1092" s="1509"/>
      <c r="Q1092" s="1314"/>
      <c r="R1092" s="1314"/>
      <c r="S1092" s="1314"/>
      <c r="T1092" s="1314"/>
      <c r="U1092" s="1314"/>
      <c r="V1092" s="1314"/>
      <c r="W1092" s="1314"/>
      <c r="X1092" s="1314"/>
      <c r="Y1092" s="1314"/>
      <c r="Z1092" s="1314"/>
    </row>
    <row r="1093" spans="1:26" ht="18.75">
      <c r="A1093" s="1393"/>
      <c r="B1093" s="1393"/>
      <c r="C1093" s="1393"/>
      <c r="D1093" s="1506"/>
      <c r="E1093" s="1393"/>
      <c r="F1093" s="1393"/>
      <c r="G1093" s="1393"/>
      <c r="H1093" s="1507"/>
      <c r="I1093" s="1508"/>
      <c r="J1093" s="1508"/>
      <c r="K1093" s="1509"/>
      <c r="L1093" s="1509"/>
      <c r="M1093" s="1509"/>
      <c r="N1093" s="1509"/>
      <c r="O1093" s="1509"/>
      <c r="P1093" s="1509"/>
      <c r="Q1093" s="1314"/>
      <c r="R1093" s="1314"/>
      <c r="S1093" s="1314"/>
      <c r="T1093" s="1314"/>
      <c r="U1093" s="1314"/>
      <c r="V1093" s="1314"/>
      <c r="W1093" s="1314"/>
      <c r="X1093" s="1314"/>
      <c r="Y1093" s="1314"/>
      <c r="Z1093" s="1314"/>
    </row>
    <row r="1094" spans="1:26" ht="18.75">
      <c r="A1094" s="1393"/>
      <c r="B1094" s="1393"/>
      <c r="C1094" s="1393"/>
      <c r="D1094" s="1506"/>
      <c r="E1094" s="1393"/>
      <c r="F1094" s="1393"/>
      <c r="G1094" s="1393"/>
      <c r="H1094" s="1507"/>
      <c r="I1094" s="1508"/>
      <c r="J1094" s="1508"/>
      <c r="K1094" s="1509"/>
      <c r="L1094" s="1509"/>
      <c r="M1094" s="1509"/>
      <c r="N1094" s="1509"/>
      <c r="O1094" s="1509"/>
      <c r="P1094" s="1509"/>
      <c r="Q1094" s="1314"/>
      <c r="R1094" s="1314"/>
      <c r="S1094" s="1314"/>
      <c r="T1094" s="1314"/>
      <c r="U1094" s="1314"/>
      <c r="V1094" s="1314"/>
      <c r="W1094" s="1314"/>
      <c r="X1094" s="1314"/>
      <c r="Y1094" s="1314"/>
      <c r="Z1094" s="1314"/>
    </row>
    <row r="1095" spans="1:26" ht="18.75">
      <c r="A1095" s="1393"/>
      <c r="B1095" s="1393"/>
      <c r="C1095" s="1393"/>
      <c r="D1095" s="1506"/>
      <c r="E1095" s="1393"/>
      <c r="F1095" s="1393"/>
      <c r="G1095" s="1393"/>
      <c r="H1095" s="1507"/>
      <c r="I1095" s="1508"/>
      <c r="J1095" s="1508"/>
      <c r="K1095" s="1509"/>
      <c r="L1095" s="1509"/>
      <c r="M1095" s="1509"/>
      <c r="N1095" s="1509"/>
      <c r="O1095" s="1509"/>
      <c r="P1095" s="1509"/>
      <c r="Q1095" s="1314"/>
      <c r="R1095" s="1314"/>
      <c r="S1095" s="1314"/>
      <c r="T1095" s="1314"/>
      <c r="U1095" s="1314"/>
      <c r="V1095" s="1314"/>
      <c r="W1095" s="1314"/>
      <c r="X1095" s="1314"/>
      <c r="Y1095" s="1314"/>
      <c r="Z1095" s="1314"/>
    </row>
    <row r="1096" spans="1:26" ht="18.75">
      <c r="A1096" s="1393"/>
      <c r="B1096" s="1393"/>
      <c r="C1096" s="1393"/>
      <c r="D1096" s="1506"/>
      <c r="E1096" s="1393"/>
      <c r="F1096" s="1393"/>
      <c r="G1096" s="1393"/>
      <c r="H1096" s="1507"/>
      <c r="I1096" s="1508"/>
      <c r="J1096" s="1508"/>
      <c r="K1096" s="1509"/>
      <c r="L1096" s="1509"/>
      <c r="M1096" s="1509"/>
      <c r="N1096" s="1509"/>
      <c r="O1096" s="1509"/>
      <c r="P1096" s="1509"/>
      <c r="Q1096" s="1314"/>
      <c r="R1096" s="1314"/>
      <c r="S1096" s="1314"/>
      <c r="T1096" s="1314"/>
      <c r="U1096" s="1314"/>
      <c r="V1096" s="1314"/>
      <c r="W1096" s="1314"/>
      <c r="X1096" s="1314"/>
      <c r="Y1096" s="1314"/>
      <c r="Z1096" s="1314"/>
    </row>
    <row r="1097" spans="1:26" ht="18.75">
      <c r="A1097" s="1393"/>
      <c r="B1097" s="1393"/>
      <c r="C1097" s="1393"/>
      <c r="D1097" s="1506"/>
      <c r="E1097" s="1393"/>
      <c r="F1097" s="1393"/>
      <c r="G1097" s="1393"/>
      <c r="H1097" s="1507"/>
      <c r="I1097" s="1508"/>
      <c r="J1097" s="1508"/>
      <c r="K1097" s="1509"/>
      <c r="L1097" s="1509"/>
      <c r="M1097" s="1509"/>
      <c r="N1097" s="1509"/>
      <c r="O1097" s="1509"/>
      <c r="P1097" s="1509"/>
      <c r="Q1097" s="1314"/>
      <c r="R1097" s="1314"/>
      <c r="S1097" s="1314"/>
      <c r="T1097" s="1314"/>
      <c r="U1097" s="1314"/>
      <c r="V1097" s="1314"/>
      <c r="W1097" s="1314"/>
      <c r="X1097" s="1314"/>
      <c r="Y1097" s="1314"/>
      <c r="Z1097" s="1314"/>
    </row>
    <row r="1098" spans="1:26" ht="18.75">
      <c r="A1098" s="1393"/>
      <c r="B1098" s="1393"/>
      <c r="C1098" s="1393"/>
      <c r="D1098" s="1506"/>
      <c r="E1098" s="1393"/>
      <c r="F1098" s="1393"/>
      <c r="G1098" s="1393"/>
      <c r="H1098" s="1507"/>
      <c r="I1098" s="1508"/>
      <c r="J1098" s="1508"/>
      <c r="K1098" s="1509"/>
      <c r="L1098" s="1509"/>
      <c r="M1098" s="1509"/>
      <c r="N1098" s="1509"/>
      <c r="O1098" s="1509"/>
      <c r="P1098" s="1509"/>
      <c r="Q1098" s="1314"/>
      <c r="R1098" s="1314"/>
      <c r="S1098" s="1314"/>
      <c r="T1098" s="1314"/>
      <c r="U1098" s="1314"/>
      <c r="V1098" s="1314"/>
      <c r="W1098" s="1314"/>
      <c r="X1098" s="1314"/>
      <c r="Y1098" s="1314"/>
      <c r="Z1098" s="1314"/>
    </row>
    <row r="1099" spans="1:26" ht="18.75">
      <c r="A1099" s="1393"/>
      <c r="B1099" s="1393"/>
      <c r="C1099" s="1393"/>
      <c r="D1099" s="1506"/>
      <c r="E1099" s="1393"/>
      <c r="F1099" s="1393"/>
      <c r="G1099" s="1393"/>
      <c r="H1099" s="1507"/>
      <c r="I1099" s="1508"/>
      <c r="J1099" s="1508"/>
      <c r="K1099" s="1509"/>
      <c r="L1099" s="1509"/>
      <c r="M1099" s="1509"/>
      <c r="N1099" s="1509"/>
      <c r="O1099" s="1509"/>
      <c r="P1099" s="1509"/>
      <c r="Q1099" s="1314"/>
      <c r="R1099" s="1314"/>
      <c r="S1099" s="1314"/>
      <c r="T1099" s="1314"/>
      <c r="U1099" s="1314"/>
      <c r="V1099" s="1314"/>
      <c r="W1099" s="1314"/>
      <c r="X1099" s="1314"/>
      <c r="Y1099" s="1314"/>
      <c r="Z1099" s="1314"/>
    </row>
    <row r="1100" spans="1:26" ht="18.75">
      <c r="A1100" s="1393"/>
      <c r="B1100" s="1393"/>
      <c r="C1100" s="1393"/>
      <c r="D1100" s="1506"/>
      <c r="E1100" s="1393"/>
      <c r="F1100" s="1393"/>
      <c r="G1100" s="1393"/>
      <c r="H1100" s="1507"/>
      <c r="I1100" s="1508"/>
      <c r="J1100" s="1508"/>
      <c r="K1100" s="1509"/>
      <c r="L1100" s="1509"/>
      <c r="M1100" s="1509"/>
      <c r="N1100" s="1509"/>
      <c r="O1100" s="1509"/>
      <c r="P1100" s="1509"/>
      <c r="Q1100" s="1314"/>
      <c r="R1100" s="1314"/>
      <c r="S1100" s="1314"/>
      <c r="T1100" s="1314"/>
      <c r="U1100" s="1314"/>
      <c r="V1100" s="1314"/>
      <c r="W1100" s="1314"/>
      <c r="X1100" s="1314"/>
      <c r="Y1100" s="1314"/>
      <c r="Z1100" s="1314"/>
    </row>
    <row r="1101" spans="1:26" ht="18.75">
      <c r="A1101" s="1393"/>
      <c r="B1101" s="1393"/>
      <c r="C1101" s="1393"/>
      <c r="D1101" s="1506"/>
      <c r="E1101" s="1393"/>
      <c r="F1101" s="1393"/>
      <c r="G1101" s="1393"/>
      <c r="H1101" s="1507"/>
      <c r="I1101" s="1508"/>
      <c r="J1101" s="1508"/>
      <c r="K1101" s="1509"/>
      <c r="L1101" s="1509"/>
      <c r="M1101" s="1509"/>
      <c r="N1101" s="1509"/>
      <c r="O1101" s="1509"/>
      <c r="P1101" s="1509"/>
      <c r="Q1101" s="1314"/>
      <c r="R1101" s="1314"/>
      <c r="S1101" s="1314"/>
      <c r="T1101" s="1314"/>
      <c r="U1101" s="1314"/>
      <c r="V1101" s="1314"/>
      <c r="W1101" s="1314"/>
      <c r="X1101" s="1314"/>
      <c r="Y1101" s="1314"/>
      <c r="Z1101" s="1314"/>
    </row>
    <row r="1102" spans="1:26" ht="18.75">
      <c r="A1102" s="1393"/>
      <c r="B1102" s="1393"/>
      <c r="C1102" s="1393"/>
      <c r="D1102" s="1506"/>
      <c r="E1102" s="1393"/>
      <c r="F1102" s="1393"/>
      <c r="G1102" s="1393"/>
      <c r="H1102" s="1507"/>
      <c r="I1102" s="1508"/>
      <c r="J1102" s="1508"/>
      <c r="K1102" s="1509"/>
      <c r="L1102" s="1509"/>
      <c r="M1102" s="1509"/>
      <c r="N1102" s="1509"/>
      <c r="O1102" s="1509"/>
      <c r="P1102" s="1509"/>
      <c r="Q1102" s="1314"/>
      <c r="R1102" s="1314"/>
      <c r="S1102" s="1314"/>
      <c r="T1102" s="1314"/>
      <c r="U1102" s="1314"/>
      <c r="V1102" s="1314"/>
      <c r="W1102" s="1314"/>
      <c r="X1102" s="1314"/>
      <c r="Y1102" s="1314"/>
      <c r="Z1102" s="1314"/>
    </row>
    <row r="1103" spans="1:26" ht="18.75">
      <c r="A1103" s="1393"/>
      <c r="B1103" s="1393"/>
      <c r="C1103" s="1393"/>
      <c r="D1103" s="1506"/>
      <c r="E1103" s="1393"/>
      <c r="F1103" s="1393"/>
      <c r="G1103" s="1393"/>
      <c r="H1103" s="1507"/>
      <c r="I1103" s="1508"/>
      <c r="J1103" s="1508"/>
      <c r="K1103" s="1509"/>
      <c r="L1103" s="1509"/>
      <c r="M1103" s="1509"/>
      <c r="N1103" s="1509"/>
      <c r="O1103" s="1509"/>
      <c r="P1103" s="1509"/>
      <c r="Q1103" s="1314"/>
      <c r="R1103" s="1314"/>
      <c r="S1103" s="1314"/>
      <c r="T1103" s="1314"/>
      <c r="U1103" s="1314"/>
      <c r="V1103" s="1314"/>
      <c r="W1103" s="1314"/>
      <c r="X1103" s="1314"/>
      <c r="Y1103" s="1314"/>
      <c r="Z1103" s="1314"/>
    </row>
    <row r="1104" spans="1:26" ht="18.75">
      <c r="A1104" s="1393"/>
      <c r="B1104" s="1393"/>
      <c r="C1104" s="1393"/>
      <c r="D1104" s="1506"/>
      <c r="E1104" s="1393"/>
      <c r="F1104" s="1393"/>
      <c r="G1104" s="1393"/>
      <c r="H1104" s="1507"/>
      <c r="I1104" s="1508"/>
      <c r="J1104" s="1508"/>
      <c r="K1104" s="1509"/>
      <c r="L1104" s="1509"/>
      <c r="M1104" s="1509"/>
      <c r="N1104" s="1509"/>
      <c r="O1104" s="1509"/>
      <c r="P1104" s="1509"/>
      <c r="Q1104" s="1314"/>
      <c r="R1104" s="1314"/>
      <c r="S1104" s="1314"/>
      <c r="T1104" s="1314"/>
      <c r="U1104" s="1314"/>
      <c r="V1104" s="1314"/>
      <c r="W1104" s="1314"/>
      <c r="X1104" s="1314"/>
      <c r="Y1104" s="1314"/>
      <c r="Z1104" s="1314"/>
    </row>
    <row r="1105" spans="1:26" ht="18.75">
      <c r="A1105" s="1393"/>
      <c r="B1105" s="1393"/>
      <c r="C1105" s="1393"/>
      <c r="D1105" s="1506"/>
      <c r="E1105" s="1393"/>
      <c r="F1105" s="1393"/>
      <c r="G1105" s="1393"/>
      <c r="H1105" s="1507"/>
      <c r="I1105" s="1508"/>
      <c r="J1105" s="1508"/>
      <c r="K1105" s="1509"/>
      <c r="L1105" s="1509"/>
      <c r="M1105" s="1509"/>
      <c r="N1105" s="1509"/>
      <c r="O1105" s="1509"/>
      <c r="P1105" s="1509"/>
      <c r="Q1105" s="1314"/>
      <c r="R1105" s="1314"/>
      <c r="S1105" s="1314"/>
      <c r="T1105" s="1314"/>
      <c r="U1105" s="1314"/>
      <c r="V1105" s="1314"/>
      <c r="W1105" s="1314"/>
      <c r="X1105" s="1314"/>
      <c r="Y1105" s="1314"/>
      <c r="Z1105" s="1314"/>
    </row>
    <row r="1106" spans="1:26" ht="18.75">
      <c r="A1106" s="1393"/>
      <c r="B1106" s="1393"/>
      <c r="C1106" s="1393"/>
      <c r="D1106" s="1506"/>
      <c r="E1106" s="1393"/>
      <c r="F1106" s="1393"/>
      <c r="G1106" s="1393"/>
      <c r="H1106" s="1507"/>
      <c r="I1106" s="1508"/>
      <c r="J1106" s="1508"/>
      <c r="K1106" s="1509"/>
      <c r="L1106" s="1509"/>
      <c r="M1106" s="1509"/>
      <c r="N1106" s="1509"/>
      <c r="O1106" s="1509"/>
      <c r="P1106" s="1509"/>
      <c r="Q1106" s="1314"/>
      <c r="R1106" s="1314"/>
      <c r="S1106" s="1314"/>
      <c r="T1106" s="1314"/>
      <c r="U1106" s="1314"/>
      <c r="V1106" s="1314"/>
      <c r="W1106" s="1314"/>
      <c r="X1106" s="1314"/>
      <c r="Y1106" s="1314"/>
      <c r="Z1106" s="1314"/>
    </row>
    <row r="1107" spans="1:26" ht="18.75">
      <c r="A1107" s="1393"/>
      <c r="B1107" s="1393"/>
      <c r="C1107" s="1393"/>
      <c r="D1107" s="1506"/>
      <c r="E1107" s="1393"/>
      <c r="F1107" s="1393"/>
      <c r="G1107" s="1393"/>
      <c r="H1107" s="1507"/>
      <c r="I1107" s="1508"/>
      <c r="J1107" s="1508"/>
      <c r="K1107" s="1509"/>
      <c r="L1107" s="1509"/>
      <c r="M1107" s="1509"/>
      <c r="N1107" s="1509"/>
      <c r="O1107" s="1509"/>
      <c r="P1107" s="1509"/>
      <c r="Q1107" s="1314"/>
      <c r="R1107" s="1314"/>
      <c r="S1107" s="1314"/>
      <c r="T1107" s="1314"/>
      <c r="U1107" s="1314"/>
      <c r="V1107" s="1314"/>
      <c r="W1107" s="1314"/>
      <c r="X1107" s="1314"/>
      <c r="Y1107" s="1314"/>
      <c r="Z1107" s="1314"/>
    </row>
    <row r="1108" spans="1:26" ht="18.75">
      <c r="A1108" s="1393"/>
      <c r="B1108" s="1393"/>
      <c r="C1108" s="1393"/>
      <c r="D1108" s="1506"/>
      <c r="E1108" s="1393"/>
      <c r="F1108" s="1393"/>
      <c r="G1108" s="1393"/>
      <c r="H1108" s="1507"/>
      <c r="I1108" s="1508"/>
      <c r="J1108" s="1508"/>
      <c r="K1108" s="1509"/>
      <c r="L1108" s="1509"/>
      <c r="M1108" s="1509"/>
      <c r="N1108" s="1509"/>
      <c r="O1108" s="1509"/>
      <c r="P1108" s="1509"/>
      <c r="Q1108" s="1314"/>
      <c r="R1108" s="1314"/>
      <c r="S1108" s="1314"/>
      <c r="T1108" s="1314"/>
      <c r="U1108" s="1314"/>
      <c r="V1108" s="1314"/>
      <c r="W1108" s="1314"/>
      <c r="X1108" s="1314"/>
      <c r="Y1108" s="1314"/>
      <c r="Z1108" s="1314"/>
    </row>
    <row r="1109" spans="1:26" ht="18.75">
      <c r="A1109" s="1393"/>
      <c r="B1109" s="1393"/>
      <c r="C1109" s="1393"/>
      <c r="D1109" s="1506"/>
      <c r="E1109" s="1393"/>
      <c r="F1109" s="1393"/>
      <c r="G1109" s="1393"/>
      <c r="H1109" s="1507"/>
      <c r="I1109" s="1508"/>
      <c r="J1109" s="1508"/>
      <c r="K1109" s="1509"/>
      <c r="L1109" s="1509"/>
      <c r="M1109" s="1509"/>
      <c r="N1109" s="1509"/>
      <c r="O1109" s="1509"/>
      <c r="P1109" s="1509"/>
      <c r="Q1109" s="1314"/>
      <c r="R1109" s="1314"/>
      <c r="S1109" s="1314"/>
      <c r="T1109" s="1314"/>
      <c r="U1109" s="1314"/>
      <c r="V1109" s="1314"/>
      <c r="W1109" s="1314"/>
      <c r="X1109" s="1314"/>
      <c r="Y1109" s="1314"/>
      <c r="Z1109" s="1314"/>
    </row>
    <row r="1110" spans="1:26" ht="18.75">
      <c r="A1110" s="1393"/>
      <c r="B1110" s="1393"/>
      <c r="C1110" s="1393"/>
      <c r="D1110" s="1506"/>
      <c r="E1110" s="1393"/>
      <c r="F1110" s="1393"/>
      <c r="G1110" s="1393"/>
      <c r="H1110" s="1507"/>
      <c r="I1110" s="1508"/>
      <c r="J1110" s="1508"/>
      <c r="K1110" s="1509"/>
      <c r="L1110" s="1509"/>
      <c r="M1110" s="1509"/>
      <c r="N1110" s="1509"/>
      <c r="O1110" s="1509"/>
      <c r="P1110" s="1509"/>
      <c r="Q1110" s="1314"/>
      <c r="R1110" s="1314"/>
      <c r="S1110" s="1314"/>
      <c r="T1110" s="1314"/>
      <c r="U1110" s="1314"/>
      <c r="V1110" s="1314"/>
      <c r="W1110" s="1314"/>
      <c r="X1110" s="1314"/>
      <c r="Y1110" s="1314"/>
      <c r="Z1110" s="1314"/>
    </row>
    <row r="1111" spans="1:26" ht="18.75">
      <c r="A1111" s="1393"/>
      <c r="B1111" s="1393"/>
      <c r="C1111" s="1393"/>
      <c r="D1111" s="1506"/>
      <c r="E1111" s="1393"/>
      <c r="F1111" s="1393"/>
      <c r="G1111" s="1393"/>
      <c r="H1111" s="1507"/>
      <c r="I1111" s="1508"/>
      <c r="J1111" s="1508"/>
      <c r="K1111" s="1509"/>
      <c r="L1111" s="1509"/>
      <c r="M1111" s="1509"/>
      <c r="N1111" s="1509"/>
      <c r="O1111" s="1509"/>
      <c r="P1111" s="1509"/>
      <c r="Q1111" s="1314"/>
      <c r="R1111" s="1314"/>
      <c r="S1111" s="1314"/>
      <c r="T1111" s="1314"/>
      <c r="U1111" s="1314"/>
      <c r="V1111" s="1314"/>
      <c r="W1111" s="1314"/>
      <c r="X1111" s="1314"/>
      <c r="Y1111" s="1314"/>
      <c r="Z1111" s="1314"/>
    </row>
    <row r="1112" spans="1:26" ht="18.75">
      <c r="A1112" s="1393"/>
      <c r="B1112" s="1393"/>
      <c r="C1112" s="1393"/>
      <c r="D1112" s="1506"/>
      <c r="E1112" s="1393"/>
      <c r="F1112" s="1393"/>
      <c r="G1112" s="1393"/>
      <c r="H1112" s="1507"/>
      <c r="I1112" s="1508"/>
      <c r="J1112" s="1508"/>
      <c r="K1112" s="1509"/>
      <c r="L1112" s="1509"/>
      <c r="M1112" s="1509"/>
      <c r="N1112" s="1509"/>
      <c r="O1112" s="1509"/>
      <c r="P1112" s="1509"/>
      <c r="Q1112" s="1314"/>
      <c r="R1112" s="1314"/>
      <c r="S1112" s="1314"/>
      <c r="T1112" s="1314"/>
      <c r="U1112" s="1314"/>
      <c r="V1112" s="1314"/>
      <c r="W1112" s="1314"/>
      <c r="X1112" s="1314"/>
      <c r="Y1112" s="1314"/>
      <c r="Z1112" s="1314"/>
    </row>
    <row r="1113" spans="1:26" ht="18.75">
      <c r="A1113" s="1393"/>
      <c r="B1113" s="1393"/>
      <c r="C1113" s="1393"/>
      <c r="D1113" s="1506"/>
      <c r="E1113" s="1393"/>
      <c r="F1113" s="1393"/>
      <c r="G1113" s="1393"/>
      <c r="H1113" s="1507"/>
      <c r="I1113" s="1508"/>
      <c r="J1113" s="1508"/>
      <c r="K1113" s="1509"/>
      <c r="L1113" s="1509"/>
      <c r="M1113" s="1509"/>
      <c r="N1113" s="1509"/>
      <c r="O1113" s="1509"/>
      <c r="P1113" s="1509"/>
      <c r="Q1113" s="1314"/>
      <c r="R1113" s="1314"/>
      <c r="S1113" s="1314"/>
      <c r="T1113" s="1314"/>
      <c r="U1113" s="1314"/>
      <c r="V1113" s="1314"/>
      <c r="W1113" s="1314"/>
      <c r="X1113" s="1314"/>
      <c r="Y1113" s="1314"/>
      <c r="Z1113" s="1314"/>
    </row>
    <row r="1114" spans="1:26" ht="18.75">
      <c r="A1114" s="1393"/>
      <c r="B1114" s="1393"/>
      <c r="C1114" s="1393"/>
      <c r="D1114" s="1506"/>
      <c r="E1114" s="1393"/>
      <c r="F1114" s="1393"/>
      <c r="G1114" s="1393"/>
      <c r="H1114" s="1507"/>
      <c r="I1114" s="1508"/>
      <c r="J1114" s="1508"/>
      <c r="K1114" s="1509"/>
      <c r="L1114" s="1509"/>
      <c r="M1114" s="1509"/>
      <c r="N1114" s="1509"/>
      <c r="O1114" s="1509"/>
      <c r="P1114" s="1509"/>
      <c r="Q1114" s="1314"/>
      <c r="R1114" s="1314"/>
      <c r="S1114" s="1314"/>
      <c r="T1114" s="1314"/>
      <c r="U1114" s="1314"/>
      <c r="V1114" s="1314"/>
      <c r="W1114" s="1314"/>
      <c r="X1114" s="1314"/>
      <c r="Y1114" s="1314"/>
      <c r="Z1114" s="1314"/>
    </row>
    <row r="1115" spans="1:26" ht="18.75">
      <c r="A1115" s="1393"/>
      <c r="B1115" s="1393"/>
      <c r="C1115" s="1393"/>
      <c r="D1115" s="1506"/>
      <c r="E1115" s="1393"/>
      <c r="F1115" s="1393"/>
      <c r="G1115" s="1393"/>
      <c r="H1115" s="1507"/>
      <c r="I1115" s="1508"/>
      <c r="J1115" s="1508"/>
      <c r="K1115" s="1509"/>
      <c r="L1115" s="1509"/>
      <c r="M1115" s="1509"/>
      <c r="N1115" s="1509"/>
      <c r="O1115" s="1509"/>
      <c r="P1115" s="1509"/>
      <c r="Q1115" s="1314"/>
      <c r="R1115" s="1314"/>
      <c r="S1115" s="1314"/>
      <c r="T1115" s="1314"/>
      <c r="U1115" s="1314"/>
      <c r="V1115" s="1314"/>
      <c r="W1115" s="1314"/>
      <c r="X1115" s="1314"/>
      <c r="Y1115" s="1314"/>
      <c r="Z1115" s="1314"/>
    </row>
    <row r="1116" spans="1:26" ht="18.75">
      <c r="A1116" s="1393"/>
      <c r="B1116" s="1393"/>
      <c r="C1116" s="1393"/>
      <c r="D1116" s="1506"/>
      <c r="E1116" s="1393"/>
      <c r="F1116" s="1393"/>
      <c r="G1116" s="1393"/>
      <c r="H1116" s="1507"/>
      <c r="I1116" s="1508"/>
      <c r="J1116" s="1508"/>
      <c r="K1116" s="1509"/>
      <c r="L1116" s="1509"/>
      <c r="M1116" s="1509"/>
      <c r="N1116" s="1509"/>
      <c r="O1116" s="1509"/>
      <c r="P1116" s="1509"/>
      <c r="Q1116" s="1314"/>
      <c r="R1116" s="1314"/>
      <c r="S1116" s="1314"/>
      <c r="T1116" s="1314"/>
      <c r="U1116" s="1314"/>
      <c r="V1116" s="1314"/>
      <c r="W1116" s="1314"/>
      <c r="X1116" s="1314"/>
      <c r="Y1116" s="1314"/>
      <c r="Z1116" s="1314"/>
    </row>
    <row r="1117" spans="1:26" ht="18.75">
      <c r="A1117" s="1393"/>
      <c r="B1117" s="1393"/>
      <c r="C1117" s="1393"/>
      <c r="D1117" s="1506"/>
      <c r="E1117" s="1393"/>
      <c r="F1117" s="1393"/>
      <c r="G1117" s="1393"/>
      <c r="H1117" s="1507"/>
      <c r="I1117" s="1508"/>
      <c r="J1117" s="1508"/>
      <c r="K1117" s="1509"/>
      <c r="L1117" s="1509"/>
      <c r="M1117" s="1509"/>
      <c r="N1117" s="1509"/>
      <c r="O1117" s="1509"/>
      <c r="P1117" s="1509"/>
      <c r="Q1117" s="1314"/>
      <c r="R1117" s="1314"/>
      <c r="S1117" s="1314"/>
      <c r="T1117" s="1314"/>
      <c r="U1117" s="1314"/>
      <c r="V1117" s="1314"/>
      <c r="W1117" s="1314"/>
      <c r="X1117" s="1314"/>
      <c r="Y1117" s="1314"/>
      <c r="Z1117" s="1314"/>
    </row>
    <row r="1118" spans="1:26" ht="18.75">
      <c r="A1118" s="1393"/>
      <c r="B1118" s="1393"/>
      <c r="C1118" s="1393"/>
      <c r="D1118" s="1506"/>
      <c r="E1118" s="1393"/>
      <c r="F1118" s="1393"/>
      <c r="G1118" s="1393"/>
      <c r="H1118" s="1507"/>
      <c r="I1118" s="1508"/>
      <c r="J1118" s="1508"/>
      <c r="K1118" s="1509"/>
      <c r="L1118" s="1509"/>
      <c r="M1118" s="1509"/>
      <c r="N1118" s="1509"/>
      <c r="O1118" s="1509"/>
      <c r="P1118" s="1509"/>
      <c r="Q1118" s="1314"/>
      <c r="R1118" s="1314"/>
      <c r="S1118" s="1314"/>
      <c r="T1118" s="1314"/>
      <c r="U1118" s="1314"/>
      <c r="V1118" s="1314"/>
      <c r="W1118" s="1314"/>
      <c r="X1118" s="1314"/>
      <c r="Y1118" s="1314"/>
      <c r="Z1118" s="1314"/>
    </row>
    <row r="1119" spans="1:26" ht="18.75">
      <c r="A1119" s="1393"/>
      <c r="B1119" s="1393"/>
      <c r="C1119" s="1393"/>
      <c r="D1119" s="1506"/>
      <c r="E1119" s="1393"/>
      <c r="F1119" s="1393"/>
      <c r="G1119" s="1393"/>
      <c r="H1119" s="1507"/>
      <c r="I1119" s="1508"/>
      <c r="J1119" s="1508"/>
      <c r="K1119" s="1509"/>
      <c r="L1119" s="1509"/>
      <c r="M1119" s="1509"/>
      <c r="N1119" s="1509"/>
      <c r="O1119" s="1509"/>
      <c r="P1119" s="1509"/>
      <c r="Q1119" s="1314"/>
      <c r="R1119" s="1314"/>
      <c r="S1119" s="1314"/>
      <c r="T1119" s="1314"/>
      <c r="U1119" s="1314"/>
      <c r="V1119" s="1314"/>
      <c r="W1119" s="1314"/>
      <c r="X1119" s="1314"/>
      <c r="Y1119" s="1314"/>
      <c r="Z1119" s="1314"/>
    </row>
    <row r="1120" spans="1:26" ht="18.75">
      <c r="A1120" s="1393"/>
      <c r="B1120" s="1393"/>
      <c r="C1120" s="1393"/>
      <c r="D1120" s="1506"/>
      <c r="E1120" s="1393"/>
      <c r="F1120" s="1393"/>
      <c r="G1120" s="1393"/>
      <c r="H1120" s="1507"/>
      <c r="I1120" s="1508"/>
      <c r="J1120" s="1508"/>
      <c r="K1120" s="1509"/>
      <c r="L1120" s="1509"/>
      <c r="M1120" s="1509"/>
      <c r="N1120" s="1509"/>
      <c r="O1120" s="1509"/>
      <c r="P1120" s="1509"/>
      <c r="Q1120" s="1314"/>
      <c r="R1120" s="1314"/>
      <c r="S1120" s="1314"/>
      <c r="T1120" s="1314"/>
      <c r="U1120" s="1314"/>
      <c r="V1120" s="1314"/>
      <c r="W1120" s="1314"/>
      <c r="X1120" s="1314"/>
      <c r="Y1120" s="1314"/>
      <c r="Z1120" s="1314"/>
    </row>
    <row r="1121" spans="1:26" ht="18.75">
      <c r="A1121" s="1393"/>
      <c r="B1121" s="1393"/>
      <c r="C1121" s="1393"/>
      <c r="D1121" s="1506"/>
      <c r="E1121" s="1393"/>
      <c r="F1121" s="1393"/>
      <c r="G1121" s="1393"/>
      <c r="H1121" s="1507"/>
      <c r="I1121" s="1508"/>
      <c r="J1121" s="1508"/>
      <c r="K1121" s="1509"/>
      <c r="L1121" s="1509"/>
      <c r="M1121" s="1509"/>
      <c r="N1121" s="1509"/>
      <c r="O1121" s="1509"/>
      <c r="P1121" s="1509"/>
      <c r="Q1121" s="1314"/>
      <c r="R1121" s="1314"/>
      <c r="S1121" s="1314"/>
      <c r="T1121" s="1314"/>
      <c r="U1121" s="1314"/>
      <c r="V1121" s="1314"/>
      <c r="W1121" s="1314"/>
      <c r="X1121" s="1314"/>
      <c r="Y1121" s="1314"/>
      <c r="Z1121" s="1314"/>
    </row>
    <row r="1122" spans="1:26" ht="18.75">
      <c r="A1122" s="1393"/>
      <c r="B1122" s="1393"/>
      <c r="C1122" s="1393"/>
      <c r="D1122" s="1506"/>
      <c r="E1122" s="1393"/>
      <c r="F1122" s="1393"/>
      <c r="G1122" s="1393"/>
      <c r="H1122" s="1507"/>
      <c r="I1122" s="1508"/>
      <c r="J1122" s="1508"/>
      <c r="K1122" s="1509"/>
      <c r="L1122" s="1509"/>
      <c r="M1122" s="1509"/>
      <c r="N1122" s="1509"/>
      <c r="O1122" s="1509"/>
      <c r="P1122" s="1509"/>
      <c r="Q1122" s="1314"/>
      <c r="R1122" s="1314"/>
      <c r="S1122" s="1314"/>
      <c r="T1122" s="1314"/>
      <c r="U1122" s="1314"/>
      <c r="V1122" s="1314"/>
      <c r="W1122" s="1314"/>
      <c r="X1122" s="1314"/>
      <c r="Y1122" s="1314"/>
      <c r="Z1122" s="1314"/>
    </row>
    <row r="1123" spans="1:26" ht="18.75">
      <c r="A1123" s="1393"/>
      <c r="B1123" s="1393"/>
      <c r="C1123" s="1393"/>
      <c r="D1123" s="1506"/>
      <c r="E1123" s="1393"/>
      <c r="F1123" s="1393"/>
      <c r="G1123" s="1393"/>
      <c r="H1123" s="1507"/>
      <c r="I1123" s="1508"/>
      <c r="J1123" s="1508"/>
      <c r="K1123" s="1509"/>
      <c r="L1123" s="1509"/>
      <c r="M1123" s="1509"/>
      <c r="N1123" s="1509"/>
      <c r="O1123" s="1509"/>
      <c r="P1123" s="1509"/>
      <c r="Q1123" s="1314"/>
      <c r="R1123" s="1314"/>
      <c r="S1123" s="1314"/>
      <c r="T1123" s="1314"/>
      <c r="U1123" s="1314"/>
      <c r="V1123" s="1314"/>
      <c r="W1123" s="1314"/>
      <c r="X1123" s="1314"/>
      <c r="Y1123" s="1314"/>
      <c r="Z1123" s="1314"/>
    </row>
    <row r="1124" spans="1:26" ht="18.75">
      <c r="A1124" s="1393"/>
      <c r="B1124" s="1393"/>
      <c r="C1124" s="1393"/>
      <c r="D1124" s="1506"/>
      <c r="E1124" s="1393"/>
      <c r="F1124" s="1393"/>
      <c r="G1124" s="1393"/>
      <c r="H1124" s="1507"/>
      <c r="I1124" s="1508"/>
      <c r="J1124" s="1508"/>
      <c r="K1124" s="1509"/>
      <c r="L1124" s="1509"/>
      <c r="M1124" s="1509"/>
      <c r="N1124" s="1509"/>
      <c r="O1124" s="1509"/>
      <c r="P1124" s="1509"/>
      <c r="Q1124" s="1314"/>
      <c r="R1124" s="1314"/>
      <c r="S1124" s="1314"/>
      <c r="T1124" s="1314"/>
      <c r="U1124" s="1314"/>
      <c r="V1124" s="1314"/>
      <c r="W1124" s="1314"/>
      <c r="X1124" s="1314"/>
      <c r="Y1124" s="1314"/>
      <c r="Z1124" s="1314"/>
    </row>
    <row r="1125" spans="1:26" ht="18.75">
      <c r="A1125" s="1393"/>
      <c r="B1125" s="1393"/>
      <c r="C1125" s="1393"/>
      <c r="D1125" s="1506"/>
      <c r="E1125" s="1393"/>
      <c r="F1125" s="1393"/>
      <c r="G1125" s="1393"/>
      <c r="H1125" s="1507"/>
      <c r="I1125" s="1508"/>
      <c r="J1125" s="1508"/>
      <c r="K1125" s="1509"/>
      <c r="L1125" s="1509"/>
      <c r="M1125" s="1509"/>
      <c r="N1125" s="1509"/>
      <c r="O1125" s="1509"/>
      <c r="P1125" s="1509"/>
      <c r="Q1125" s="1314"/>
      <c r="R1125" s="1314"/>
      <c r="S1125" s="1314"/>
      <c r="T1125" s="1314"/>
      <c r="U1125" s="1314"/>
      <c r="V1125" s="1314"/>
      <c r="W1125" s="1314"/>
      <c r="X1125" s="1314"/>
      <c r="Y1125" s="1314"/>
      <c r="Z1125" s="1314"/>
    </row>
    <row r="1126" spans="1:26" ht="18.75">
      <c r="A1126" s="1393"/>
      <c r="B1126" s="1393"/>
      <c r="C1126" s="1393"/>
      <c r="D1126" s="1506"/>
      <c r="E1126" s="1393"/>
      <c r="F1126" s="1393"/>
      <c r="G1126" s="1393"/>
      <c r="H1126" s="1507"/>
      <c r="I1126" s="1508"/>
      <c r="J1126" s="1508"/>
      <c r="K1126" s="1509"/>
      <c r="L1126" s="1509"/>
      <c r="M1126" s="1509"/>
      <c r="N1126" s="1509"/>
      <c r="O1126" s="1509"/>
      <c r="P1126" s="1509"/>
      <c r="Q1126" s="1314"/>
      <c r="R1126" s="1314"/>
      <c r="S1126" s="1314"/>
      <c r="T1126" s="1314"/>
      <c r="U1126" s="1314"/>
      <c r="V1126" s="1314"/>
      <c r="W1126" s="1314"/>
      <c r="X1126" s="1314"/>
      <c r="Y1126" s="1314"/>
      <c r="Z1126" s="1314"/>
    </row>
    <row r="1127" spans="1:26" ht="18.75">
      <c r="A1127" s="1393"/>
      <c r="B1127" s="1393"/>
      <c r="C1127" s="1393"/>
      <c r="D1127" s="1506"/>
      <c r="E1127" s="1393"/>
      <c r="F1127" s="1393"/>
      <c r="G1127" s="1393"/>
      <c r="H1127" s="1507"/>
      <c r="I1127" s="1508"/>
      <c r="J1127" s="1508"/>
      <c r="K1127" s="1509"/>
      <c r="L1127" s="1509"/>
      <c r="M1127" s="1509"/>
      <c r="N1127" s="1509"/>
      <c r="O1127" s="1509"/>
      <c r="P1127" s="1509"/>
      <c r="Q1127" s="1314"/>
      <c r="R1127" s="1314"/>
      <c r="S1127" s="1314"/>
      <c r="T1127" s="1314"/>
      <c r="U1127" s="1314"/>
      <c r="V1127" s="1314"/>
      <c r="W1127" s="1314"/>
      <c r="X1127" s="1314"/>
      <c r="Y1127" s="1314"/>
      <c r="Z1127" s="1314"/>
    </row>
    <row r="1128" spans="1:26" ht="18.75">
      <c r="A1128" s="1393"/>
      <c r="B1128" s="1393"/>
      <c r="C1128" s="1393"/>
      <c r="D1128" s="1506"/>
      <c r="E1128" s="1393"/>
      <c r="F1128" s="1393"/>
      <c r="G1128" s="1393"/>
      <c r="H1128" s="1507"/>
      <c r="I1128" s="1508"/>
      <c r="J1128" s="1508"/>
      <c r="K1128" s="1509"/>
      <c r="L1128" s="1509"/>
      <c r="M1128" s="1509"/>
      <c r="N1128" s="1509"/>
      <c r="O1128" s="1509"/>
      <c r="P1128" s="1509"/>
      <c r="Q1128" s="1314"/>
      <c r="R1128" s="1314"/>
      <c r="S1128" s="1314"/>
      <c r="T1128" s="1314"/>
      <c r="U1128" s="1314"/>
      <c r="V1128" s="1314"/>
      <c r="W1128" s="1314"/>
      <c r="X1128" s="1314"/>
      <c r="Y1128" s="1314"/>
      <c r="Z1128" s="1314"/>
    </row>
    <row r="1129" spans="1:26" ht="18.75">
      <c r="A1129" s="1393"/>
      <c r="B1129" s="1393"/>
      <c r="C1129" s="1393"/>
      <c r="D1129" s="1506"/>
      <c r="E1129" s="1393"/>
      <c r="F1129" s="1393"/>
      <c r="G1129" s="1393"/>
      <c r="H1129" s="1507"/>
      <c r="I1129" s="1508"/>
      <c r="J1129" s="1508"/>
      <c r="K1129" s="1509"/>
      <c r="L1129" s="1509"/>
      <c r="M1129" s="1509"/>
      <c r="N1129" s="1509"/>
      <c r="O1129" s="1509"/>
      <c r="P1129" s="1509"/>
      <c r="Q1129" s="1314"/>
      <c r="R1129" s="1314"/>
      <c r="S1129" s="1314"/>
      <c r="T1129" s="1314"/>
      <c r="U1129" s="1314"/>
      <c r="V1129" s="1314"/>
      <c r="W1129" s="1314"/>
      <c r="X1129" s="1314"/>
      <c r="Y1129" s="1314"/>
      <c r="Z1129" s="1314"/>
    </row>
    <row r="1130" spans="1:26" ht="18.75">
      <c r="A1130" s="1393"/>
      <c r="B1130" s="1393"/>
      <c r="C1130" s="1393"/>
      <c r="D1130" s="1506"/>
      <c r="E1130" s="1393"/>
      <c r="F1130" s="1393"/>
      <c r="G1130" s="1393"/>
      <c r="H1130" s="1507"/>
      <c r="I1130" s="1508"/>
      <c r="J1130" s="1508"/>
      <c r="K1130" s="1509"/>
      <c r="L1130" s="1509"/>
      <c r="M1130" s="1509"/>
      <c r="N1130" s="1509"/>
      <c r="O1130" s="1509"/>
      <c r="P1130" s="1509"/>
      <c r="Q1130" s="1314"/>
      <c r="R1130" s="1314"/>
      <c r="S1130" s="1314"/>
      <c r="T1130" s="1314"/>
      <c r="U1130" s="1314"/>
      <c r="V1130" s="1314"/>
      <c r="W1130" s="1314"/>
      <c r="X1130" s="1314"/>
      <c r="Y1130" s="1314"/>
      <c r="Z1130" s="1314"/>
    </row>
    <row r="1131" spans="1:26" ht="18.75">
      <c r="A1131" s="1393"/>
      <c r="B1131" s="1393"/>
      <c r="C1131" s="1393"/>
      <c r="D1131" s="1506"/>
      <c r="E1131" s="1393"/>
      <c r="F1131" s="1393"/>
      <c r="G1131" s="1393"/>
      <c r="H1131" s="1507"/>
      <c r="I1131" s="1508"/>
      <c r="J1131" s="1508"/>
      <c r="K1131" s="1509"/>
      <c r="L1131" s="1509"/>
      <c r="M1131" s="1509"/>
      <c r="N1131" s="1509"/>
      <c r="O1131" s="1509"/>
      <c r="P1131" s="1509"/>
      <c r="Q1131" s="1314"/>
      <c r="R1131" s="1314"/>
      <c r="S1131" s="1314"/>
      <c r="T1131" s="1314"/>
      <c r="U1131" s="1314"/>
      <c r="V1131" s="1314"/>
      <c r="W1131" s="1314"/>
      <c r="X1131" s="1314"/>
      <c r="Y1131" s="1314"/>
      <c r="Z1131" s="1314"/>
    </row>
    <row r="1132" spans="1:26" ht="18.75">
      <c r="A1132" s="1393"/>
      <c r="B1132" s="1393"/>
      <c r="C1132" s="1393"/>
      <c r="D1132" s="1506"/>
      <c r="E1132" s="1393"/>
      <c r="F1132" s="1393"/>
      <c r="G1132" s="1393"/>
      <c r="H1132" s="1507"/>
      <c r="I1132" s="1508"/>
      <c r="J1132" s="1508"/>
      <c r="K1132" s="1509"/>
      <c r="L1132" s="1509"/>
      <c r="M1132" s="1509"/>
      <c r="N1132" s="1509"/>
      <c r="O1132" s="1509"/>
      <c r="P1132" s="1509"/>
      <c r="Q1132" s="1314"/>
      <c r="R1132" s="1314"/>
      <c r="S1132" s="1314"/>
      <c r="T1132" s="1314"/>
      <c r="U1132" s="1314"/>
      <c r="V1132" s="1314"/>
      <c r="W1132" s="1314"/>
      <c r="X1132" s="1314"/>
      <c r="Y1132" s="1314"/>
      <c r="Z1132" s="1314"/>
    </row>
    <row r="1133" spans="1:26" ht="18.75">
      <c r="A1133" s="1393"/>
      <c r="B1133" s="1393"/>
      <c r="C1133" s="1393"/>
      <c r="D1133" s="1506"/>
      <c r="E1133" s="1393"/>
      <c r="F1133" s="1393"/>
      <c r="G1133" s="1393"/>
      <c r="H1133" s="1507"/>
      <c r="I1133" s="1508"/>
      <c r="J1133" s="1508"/>
      <c r="K1133" s="1509"/>
      <c r="L1133" s="1509"/>
      <c r="M1133" s="1509"/>
      <c r="N1133" s="1509"/>
      <c r="O1133" s="1509"/>
      <c r="P1133" s="1509"/>
      <c r="Q1133" s="1314"/>
      <c r="R1133" s="1314"/>
      <c r="S1133" s="1314"/>
      <c r="T1133" s="1314"/>
      <c r="U1133" s="1314"/>
      <c r="V1133" s="1314"/>
      <c r="W1133" s="1314"/>
      <c r="X1133" s="1314"/>
      <c r="Y1133" s="1314"/>
      <c r="Z1133" s="1314"/>
    </row>
    <row r="1134" spans="1:26" ht="18.75">
      <c r="A1134" s="1393"/>
      <c r="B1134" s="1393"/>
      <c r="C1134" s="1393"/>
      <c r="D1134" s="1506"/>
      <c r="E1134" s="1393"/>
      <c r="F1134" s="1393"/>
      <c r="G1134" s="1393"/>
      <c r="H1134" s="1507"/>
      <c r="I1134" s="1508"/>
      <c r="J1134" s="1508"/>
      <c r="K1134" s="1509"/>
      <c r="L1134" s="1509"/>
      <c r="M1134" s="1509"/>
      <c r="N1134" s="1509"/>
      <c r="O1134" s="1509"/>
      <c r="P1134" s="1509"/>
      <c r="Q1134" s="1314"/>
      <c r="R1134" s="1314"/>
      <c r="S1134" s="1314"/>
      <c r="T1134" s="1314"/>
      <c r="U1134" s="1314"/>
      <c r="V1134" s="1314"/>
      <c r="W1134" s="1314"/>
      <c r="X1134" s="1314"/>
      <c r="Y1134" s="1314"/>
      <c r="Z1134" s="1314"/>
    </row>
    <row r="1135" spans="1:26" ht="18.75">
      <c r="A1135" s="1393"/>
      <c r="B1135" s="1393"/>
      <c r="C1135" s="1393"/>
      <c r="D1135" s="1506"/>
      <c r="E1135" s="1393"/>
      <c r="F1135" s="1393"/>
      <c r="G1135" s="1393"/>
      <c r="H1135" s="1507"/>
      <c r="I1135" s="1508"/>
      <c r="J1135" s="1508"/>
      <c r="K1135" s="1509"/>
      <c r="L1135" s="1509"/>
      <c r="M1135" s="1509"/>
      <c r="N1135" s="1509"/>
      <c r="O1135" s="1509"/>
      <c r="P1135" s="1509"/>
      <c r="Q1135" s="1314"/>
      <c r="R1135" s="1314"/>
      <c r="S1135" s="1314"/>
      <c r="T1135" s="1314"/>
      <c r="U1135" s="1314"/>
      <c r="V1135" s="1314"/>
      <c r="W1135" s="1314"/>
      <c r="X1135" s="1314"/>
      <c r="Y1135" s="1314"/>
      <c r="Z1135" s="1314"/>
    </row>
    <row r="1136" spans="1:26" ht="18.75">
      <c r="A1136" s="1393"/>
      <c r="B1136" s="1393"/>
      <c r="C1136" s="1393"/>
      <c r="D1136" s="1506"/>
      <c r="E1136" s="1393"/>
      <c r="F1136" s="1393"/>
      <c r="G1136" s="1393"/>
      <c r="H1136" s="1507"/>
      <c r="I1136" s="1508"/>
      <c r="J1136" s="1508"/>
      <c r="K1136" s="1509"/>
      <c r="L1136" s="1509"/>
      <c r="M1136" s="1509"/>
      <c r="N1136" s="1509"/>
      <c r="O1136" s="1509"/>
      <c r="P1136" s="1509"/>
      <c r="Q1136" s="1314"/>
      <c r="R1136" s="1314"/>
      <c r="S1136" s="1314"/>
      <c r="T1136" s="1314"/>
      <c r="U1136" s="1314"/>
      <c r="V1136" s="1314"/>
      <c r="W1136" s="1314"/>
      <c r="X1136" s="1314"/>
      <c r="Y1136" s="1314"/>
      <c r="Z1136" s="1314"/>
    </row>
    <row r="1137" spans="1:26" ht="18.75">
      <c r="A1137" s="1393"/>
      <c r="B1137" s="1393"/>
      <c r="C1137" s="1393"/>
      <c r="D1137" s="1506"/>
      <c r="E1137" s="1393"/>
      <c r="F1137" s="1393"/>
      <c r="G1137" s="1393"/>
      <c r="H1137" s="1507"/>
      <c r="I1137" s="1508"/>
      <c r="J1137" s="1508"/>
      <c r="K1137" s="1509"/>
      <c r="L1137" s="1509"/>
      <c r="M1137" s="1509"/>
      <c r="N1137" s="1509"/>
      <c r="O1137" s="1509"/>
      <c r="P1137" s="1509"/>
      <c r="Q1137" s="1314"/>
      <c r="R1137" s="1314"/>
      <c r="S1137" s="1314"/>
      <c r="T1137" s="1314"/>
      <c r="U1137" s="1314"/>
      <c r="V1137" s="1314"/>
      <c r="W1137" s="1314"/>
      <c r="X1137" s="1314"/>
      <c r="Y1137" s="1314"/>
      <c r="Z1137" s="1314"/>
    </row>
    <row r="1138" spans="1:26" ht="18.75">
      <c r="A1138" s="1393"/>
      <c r="B1138" s="1393"/>
      <c r="C1138" s="1393"/>
      <c r="D1138" s="1506"/>
      <c r="E1138" s="1393"/>
      <c r="F1138" s="1393"/>
      <c r="G1138" s="1393"/>
      <c r="H1138" s="1507"/>
      <c r="I1138" s="1508"/>
      <c r="J1138" s="1508"/>
      <c r="K1138" s="1509"/>
      <c r="L1138" s="1509"/>
      <c r="M1138" s="1509"/>
      <c r="N1138" s="1509"/>
      <c r="O1138" s="1509"/>
      <c r="P1138" s="1509"/>
      <c r="Q1138" s="1314"/>
      <c r="R1138" s="1314"/>
      <c r="S1138" s="1314"/>
      <c r="T1138" s="1314"/>
      <c r="U1138" s="1314"/>
      <c r="V1138" s="1314"/>
      <c r="W1138" s="1314"/>
      <c r="X1138" s="1314"/>
      <c r="Y1138" s="1314"/>
      <c r="Z1138" s="1314"/>
    </row>
    <row r="1139" spans="1:26" ht="18.75">
      <c r="A1139" s="1393"/>
      <c r="B1139" s="1393"/>
      <c r="C1139" s="1393"/>
      <c r="D1139" s="1506"/>
      <c r="E1139" s="1393"/>
      <c r="F1139" s="1393"/>
      <c r="G1139" s="1393"/>
      <c r="H1139" s="1507"/>
      <c r="I1139" s="1508"/>
      <c r="J1139" s="1508"/>
      <c r="K1139" s="1509"/>
      <c r="L1139" s="1509"/>
      <c r="M1139" s="1509"/>
      <c r="N1139" s="1509"/>
      <c r="O1139" s="1509"/>
      <c r="P1139" s="1509"/>
      <c r="Q1139" s="1314"/>
      <c r="R1139" s="1314"/>
      <c r="S1139" s="1314"/>
      <c r="T1139" s="1314"/>
      <c r="U1139" s="1314"/>
      <c r="V1139" s="1314"/>
      <c r="W1139" s="1314"/>
      <c r="X1139" s="1314"/>
      <c r="Y1139" s="1314"/>
      <c r="Z1139" s="1314"/>
    </row>
    <row r="1140" spans="1:26" ht="18.75">
      <c r="A1140" s="1393"/>
      <c r="B1140" s="1393"/>
      <c r="C1140" s="1393"/>
      <c r="D1140" s="1506"/>
      <c r="E1140" s="1393"/>
      <c r="F1140" s="1393"/>
      <c r="G1140" s="1393"/>
      <c r="H1140" s="1507"/>
      <c r="I1140" s="1508"/>
      <c r="J1140" s="1508"/>
      <c r="K1140" s="1509"/>
      <c r="L1140" s="1509"/>
      <c r="M1140" s="1509"/>
      <c r="N1140" s="1509"/>
      <c r="O1140" s="1509"/>
      <c r="P1140" s="1509"/>
      <c r="Q1140" s="1314"/>
      <c r="R1140" s="1314"/>
      <c r="S1140" s="1314"/>
      <c r="T1140" s="1314"/>
      <c r="U1140" s="1314"/>
      <c r="V1140" s="1314"/>
      <c r="W1140" s="1314"/>
      <c r="X1140" s="1314"/>
      <c r="Y1140" s="1314"/>
      <c r="Z1140" s="1314"/>
    </row>
    <row r="1141" spans="1:26" ht="18.75">
      <c r="A1141" s="1393"/>
      <c r="B1141" s="1393"/>
      <c r="C1141" s="1393"/>
      <c r="D1141" s="1506"/>
      <c r="E1141" s="1393"/>
      <c r="F1141" s="1393"/>
      <c r="G1141" s="1393"/>
      <c r="H1141" s="1507"/>
      <c r="I1141" s="1508"/>
      <c r="J1141" s="1508"/>
      <c r="K1141" s="1509"/>
      <c r="L1141" s="1509"/>
      <c r="M1141" s="1509"/>
      <c r="N1141" s="1509"/>
      <c r="O1141" s="1509"/>
      <c r="P1141" s="1509"/>
      <c r="Q1141" s="1314"/>
      <c r="R1141" s="1314"/>
      <c r="S1141" s="1314"/>
      <c r="T1141" s="1314"/>
      <c r="U1141" s="1314"/>
      <c r="V1141" s="1314"/>
      <c r="W1141" s="1314"/>
      <c r="X1141" s="1314"/>
      <c r="Y1141" s="1314"/>
      <c r="Z1141" s="1314"/>
    </row>
    <row r="1142" spans="1:26" ht="18.75">
      <c r="A1142" s="1393"/>
      <c r="B1142" s="1393"/>
      <c r="C1142" s="1393"/>
      <c r="D1142" s="1506"/>
      <c r="E1142" s="1393"/>
      <c r="F1142" s="1393"/>
      <c r="G1142" s="1393"/>
      <c r="H1142" s="1507"/>
      <c r="I1142" s="1508"/>
      <c r="J1142" s="1508"/>
      <c r="K1142" s="1509"/>
      <c r="L1142" s="1509"/>
      <c r="M1142" s="1509"/>
      <c r="N1142" s="1509"/>
      <c r="O1142" s="1509"/>
      <c r="P1142" s="1509"/>
      <c r="Q1142" s="1314"/>
      <c r="R1142" s="1314"/>
      <c r="S1142" s="1314"/>
      <c r="T1142" s="1314"/>
      <c r="U1142" s="1314"/>
      <c r="V1142" s="1314"/>
      <c r="W1142" s="1314"/>
      <c r="X1142" s="1314"/>
      <c r="Y1142" s="1314"/>
      <c r="Z1142" s="1314"/>
    </row>
    <row r="1143" spans="1:26" ht="18.75">
      <c r="A1143" s="1393"/>
      <c r="B1143" s="1393"/>
      <c r="C1143" s="1393"/>
      <c r="D1143" s="1506"/>
      <c r="E1143" s="1393"/>
      <c r="F1143" s="1393"/>
      <c r="G1143" s="1393"/>
      <c r="H1143" s="1507"/>
      <c r="I1143" s="1508"/>
      <c r="J1143" s="1508"/>
      <c r="K1143" s="1509"/>
      <c r="L1143" s="1509"/>
      <c r="M1143" s="1509"/>
      <c r="N1143" s="1509"/>
      <c r="O1143" s="1509"/>
      <c r="P1143" s="1509"/>
      <c r="Q1143" s="1314"/>
      <c r="R1143" s="1314"/>
      <c r="S1143" s="1314"/>
      <c r="T1143" s="1314"/>
      <c r="U1143" s="1314"/>
      <c r="V1143" s="1314"/>
      <c r="W1143" s="1314"/>
      <c r="X1143" s="1314"/>
      <c r="Y1143" s="1314"/>
      <c r="Z1143" s="1314"/>
    </row>
    <row r="1144" spans="1:26" ht="18.75">
      <c r="A1144" s="1393"/>
      <c r="B1144" s="1393"/>
      <c r="C1144" s="1393"/>
      <c r="D1144" s="1506"/>
      <c r="E1144" s="1393"/>
      <c r="F1144" s="1393"/>
      <c r="G1144" s="1393"/>
      <c r="H1144" s="1507"/>
      <c r="I1144" s="1508"/>
      <c r="J1144" s="1508"/>
      <c r="K1144" s="1509"/>
      <c r="L1144" s="1509"/>
      <c r="M1144" s="1509"/>
      <c r="N1144" s="1509"/>
      <c r="O1144" s="1509"/>
      <c r="P1144" s="1509"/>
      <c r="Q1144" s="1314"/>
      <c r="R1144" s="1314"/>
      <c r="S1144" s="1314"/>
      <c r="T1144" s="1314"/>
      <c r="U1144" s="1314"/>
      <c r="V1144" s="1314"/>
      <c r="W1144" s="1314"/>
      <c r="X1144" s="1314"/>
      <c r="Y1144" s="1314"/>
      <c r="Z1144" s="1314"/>
    </row>
    <row r="1145" spans="1:26" ht="18.75">
      <c r="A1145" s="1393"/>
      <c r="B1145" s="1393"/>
      <c r="C1145" s="1393"/>
      <c r="D1145" s="1506"/>
      <c r="E1145" s="1393"/>
      <c r="F1145" s="1393"/>
      <c r="G1145" s="1393"/>
      <c r="H1145" s="1507"/>
      <c r="I1145" s="1508"/>
      <c r="J1145" s="1508"/>
      <c r="K1145" s="1509"/>
      <c r="L1145" s="1509"/>
      <c r="M1145" s="1509"/>
      <c r="N1145" s="1509"/>
      <c r="O1145" s="1509"/>
      <c r="P1145" s="1509"/>
      <c r="Q1145" s="1314"/>
      <c r="R1145" s="1314"/>
      <c r="S1145" s="1314"/>
      <c r="T1145" s="1314"/>
      <c r="U1145" s="1314"/>
      <c r="V1145" s="1314"/>
      <c r="W1145" s="1314"/>
      <c r="X1145" s="1314"/>
      <c r="Y1145" s="1314"/>
      <c r="Z1145" s="1314"/>
    </row>
    <row r="1146" spans="1:26" ht="18.75">
      <c r="A1146" s="1393"/>
      <c r="B1146" s="1393"/>
      <c r="C1146" s="1393"/>
      <c r="D1146" s="1506"/>
      <c r="E1146" s="1393"/>
      <c r="F1146" s="1393"/>
      <c r="G1146" s="1393"/>
      <c r="H1146" s="1507"/>
      <c r="I1146" s="1508"/>
      <c r="J1146" s="1508"/>
      <c r="K1146" s="1509"/>
      <c r="L1146" s="1509"/>
      <c r="M1146" s="1509"/>
      <c r="N1146" s="1509"/>
      <c r="O1146" s="1509"/>
      <c r="P1146" s="1509"/>
      <c r="Q1146" s="1314"/>
      <c r="R1146" s="1314"/>
      <c r="S1146" s="1314"/>
      <c r="T1146" s="1314"/>
      <c r="U1146" s="1314"/>
      <c r="V1146" s="1314"/>
      <c r="W1146" s="1314"/>
      <c r="X1146" s="1314"/>
      <c r="Y1146" s="1314"/>
      <c r="Z1146" s="1314"/>
    </row>
    <row r="1147" spans="1:26" ht="18.75">
      <c r="A1147" s="1393"/>
      <c r="B1147" s="1393"/>
      <c r="C1147" s="1393"/>
      <c r="D1147" s="1506"/>
      <c r="E1147" s="1393"/>
      <c r="F1147" s="1393"/>
      <c r="G1147" s="1393"/>
      <c r="H1147" s="1507"/>
      <c r="I1147" s="1508"/>
      <c r="J1147" s="1508"/>
      <c r="K1147" s="1509"/>
      <c r="L1147" s="1509"/>
      <c r="M1147" s="1509"/>
      <c r="N1147" s="1509"/>
      <c r="O1147" s="1509"/>
      <c r="P1147" s="1509"/>
      <c r="Q1147" s="1314"/>
      <c r="R1147" s="1314"/>
      <c r="S1147" s="1314"/>
      <c r="T1147" s="1314"/>
      <c r="U1147" s="1314"/>
      <c r="V1147" s="1314"/>
      <c r="W1147" s="1314"/>
      <c r="X1147" s="1314"/>
      <c r="Y1147" s="1314"/>
      <c r="Z1147" s="1314"/>
    </row>
    <row r="1148" spans="1:26" ht="18.75">
      <c r="A1148" s="1393"/>
      <c r="B1148" s="1393"/>
      <c r="C1148" s="1393"/>
      <c r="D1148" s="1506"/>
      <c r="E1148" s="1393"/>
      <c r="F1148" s="1393"/>
      <c r="G1148" s="1393"/>
      <c r="H1148" s="1507"/>
      <c r="I1148" s="1508"/>
      <c r="J1148" s="1508"/>
      <c r="K1148" s="1509"/>
      <c r="L1148" s="1509"/>
      <c r="M1148" s="1509"/>
      <c r="N1148" s="1509"/>
      <c r="O1148" s="1509"/>
      <c r="P1148" s="1509"/>
      <c r="Q1148" s="1314"/>
      <c r="R1148" s="1314"/>
      <c r="S1148" s="1314"/>
      <c r="T1148" s="1314"/>
      <c r="U1148" s="1314"/>
      <c r="V1148" s="1314"/>
      <c r="W1148" s="1314"/>
      <c r="X1148" s="1314"/>
      <c r="Y1148" s="1314"/>
      <c r="Z1148" s="1314"/>
    </row>
    <row r="1149" spans="1:26" ht="18.75">
      <c r="A1149" s="1393"/>
      <c r="B1149" s="1393"/>
      <c r="C1149" s="1393"/>
      <c r="D1149" s="1506"/>
      <c r="E1149" s="1393"/>
      <c r="F1149" s="1393"/>
      <c r="G1149" s="1393"/>
      <c r="H1149" s="1507"/>
      <c r="I1149" s="1508"/>
      <c r="J1149" s="1508"/>
      <c r="K1149" s="1509"/>
      <c r="L1149" s="1509"/>
      <c r="M1149" s="1509"/>
      <c r="N1149" s="1509"/>
      <c r="O1149" s="1509"/>
      <c r="P1149" s="1509"/>
      <c r="Q1149" s="1314"/>
      <c r="R1149" s="1314"/>
      <c r="S1149" s="1314"/>
      <c r="T1149" s="1314"/>
      <c r="U1149" s="1314"/>
      <c r="V1149" s="1314"/>
      <c r="W1149" s="1314"/>
      <c r="X1149" s="1314"/>
      <c r="Y1149" s="1314"/>
      <c r="Z1149" s="1314"/>
    </row>
    <row r="1150" spans="1:26" ht="18.75">
      <c r="A1150" s="1393"/>
      <c r="B1150" s="1393"/>
      <c r="C1150" s="1393"/>
      <c r="D1150" s="1506"/>
      <c r="E1150" s="1393"/>
      <c r="F1150" s="1393"/>
      <c r="G1150" s="1393"/>
      <c r="H1150" s="1507"/>
      <c r="I1150" s="1508"/>
      <c r="J1150" s="1508"/>
      <c r="K1150" s="1509"/>
      <c r="L1150" s="1509"/>
      <c r="M1150" s="1509"/>
      <c r="N1150" s="1509"/>
      <c r="O1150" s="1509"/>
      <c r="P1150" s="1509"/>
      <c r="Q1150" s="1314"/>
      <c r="R1150" s="1314"/>
      <c r="S1150" s="1314"/>
      <c r="T1150" s="1314"/>
      <c r="U1150" s="1314"/>
      <c r="V1150" s="1314"/>
      <c r="W1150" s="1314"/>
      <c r="X1150" s="1314"/>
      <c r="Y1150" s="1314"/>
      <c r="Z1150" s="1314"/>
    </row>
    <row r="1151" spans="1:26" ht="18.75">
      <c r="A1151" s="1393"/>
      <c r="B1151" s="1393"/>
      <c r="C1151" s="1393"/>
      <c r="D1151" s="1506"/>
      <c r="E1151" s="1393"/>
      <c r="F1151" s="1393"/>
      <c r="G1151" s="1393"/>
      <c r="H1151" s="1507"/>
      <c r="I1151" s="1508"/>
      <c r="J1151" s="1508"/>
      <c r="K1151" s="1509"/>
      <c r="L1151" s="1509"/>
      <c r="M1151" s="1509"/>
      <c r="N1151" s="1509"/>
      <c r="O1151" s="1509"/>
      <c r="P1151" s="1509"/>
      <c r="Q1151" s="1314"/>
      <c r="R1151" s="1314"/>
      <c r="S1151" s="1314"/>
      <c r="T1151" s="1314"/>
      <c r="U1151" s="1314"/>
      <c r="V1151" s="1314"/>
      <c r="W1151" s="1314"/>
      <c r="X1151" s="1314"/>
      <c r="Y1151" s="1314"/>
      <c r="Z1151" s="1314"/>
    </row>
    <row r="1152" spans="1:26" ht="18.75">
      <c r="A1152" s="1393"/>
      <c r="B1152" s="1393"/>
      <c r="C1152" s="1393"/>
      <c r="D1152" s="1506"/>
      <c r="E1152" s="1393"/>
      <c r="F1152" s="1393"/>
      <c r="G1152" s="1393"/>
      <c r="H1152" s="1507"/>
      <c r="I1152" s="1508"/>
      <c r="J1152" s="1508"/>
      <c r="K1152" s="1509"/>
      <c r="L1152" s="1509"/>
      <c r="M1152" s="1509"/>
      <c r="N1152" s="1509"/>
      <c r="O1152" s="1509"/>
      <c r="P1152" s="1509"/>
      <c r="Q1152" s="1314"/>
      <c r="R1152" s="1314"/>
      <c r="S1152" s="1314"/>
      <c r="T1152" s="1314"/>
      <c r="U1152" s="1314"/>
      <c r="V1152" s="1314"/>
      <c r="W1152" s="1314"/>
      <c r="X1152" s="1314"/>
      <c r="Y1152" s="1314"/>
      <c r="Z1152" s="1314"/>
    </row>
    <row r="1153" spans="1:26" ht="18.75">
      <c r="A1153" s="1393"/>
      <c r="B1153" s="1393"/>
      <c r="C1153" s="1393"/>
      <c r="D1153" s="1506"/>
      <c r="E1153" s="1393"/>
      <c r="F1153" s="1393"/>
      <c r="G1153" s="1393"/>
      <c r="H1153" s="1507"/>
      <c r="I1153" s="1508"/>
      <c r="J1153" s="1508"/>
      <c r="K1153" s="1509"/>
      <c r="L1153" s="1509"/>
      <c r="M1153" s="1509"/>
      <c r="N1153" s="1509"/>
      <c r="O1153" s="1509"/>
      <c r="P1153" s="1509"/>
      <c r="Q1153" s="1314"/>
      <c r="R1153" s="1314"/>
      <c r="S1153" s="1314"/>
      <c r="T1153" s="1314"/>
      <c r="U1153" s="1314"/>
      <c r="V1153" s="1314"/>
      <c r="W1153" s="1314"/>
      <c r="X1153" s="1314"/>
      <c r="Y1153" s="1314"/>
      <c r="Z1153" s="1314"/>
    </row>
    <row r="1154" spans="1:26" ht="18.75">
      <c r="A1154" s="1393"/>
      <c r="B1154" s="1393"/>
      <c r="C1154" s="1393"/>
      <c r="D1154" s="1506"/>
      <c r="E1154" s="1393"/>
      <c r="F1154" s="1393"/>
      <c r="G1154" s="1393"/>
      <c r="H1154" s="1507"/>
      <c r="I1154" s="1508"/>
      <c r="J1154" s="1508"/>
      <c r="K1154" s="1509"/>
      <c r="L1154" s="1509"/>
      <c r="M1154" s="1509"/>
      <c r="N1154" s="1509"/>
      <c r="O1154" s="1509"/>
      <c r="P1154" s="1509"/>
      <c r="Q1154" s="1314"/>
      <c r="R1154" s="1314"/>
      <c r="S1154" s="1314"/>
      <c r="T1154" s="1314"/>
      <c r="U1154" s="1314"/>
      <c r="V1154" s="1314"/>
      <c r="W1154" s="1314"/>
      <c r="X1154" s="1314"/>
      <c r="Y1154" s="1314"/>
      <c r="Z1154" s="1314"/>
    </row>
    <row r="1155" spans="1:26" ht="18.75">
      <c r="A1155" s="1393"/>
      <c r="B1155" s="1393"/>
      <c r="C1155" s="1393"/>
      <c r="D1155" s="1506"/>
      <c r="E1155" s="1393"/>
      <c r="F1155" s="1393"/>
      <c r="G1155" s="1393"/>
      <c r="H1155" s="1507"/>
      <c r="I1155" s="1508"/>
      <c r="J1155" s="1508"/>
      <c r="K1155" s="1509"/>
      <c r="L1155" s="1509"/>
      <c r="M1155" s="1509"/>
      <c r="N1155" s="1509"/>
      <c r="O1155" s="1509"/>
      <c r="P1155" s="1509"/>
      <c r="Q1155" s="1314"/>
      <c r="R1155" s="1314"/>
      <c r="S1155" s="1314"/>
      <c r="T1155" s="1314"/>
      <c r="U1155" s="1314"/>
      <c r="V1155" s="1314"/>
      <c r="W1155" s="1314"/>
      <c r="X1155" s="1314"/>
      <c r="Y1155" s="1314"/>
      <c r="Z1155" s="1314"/>
    </row>
    <row r="1156" spans="1:26" ht="18.75">
      <c r="A1156" s="1393"/>
      <c r="B1156" s="1393"/>
      <c r="C1156" s="1393"/>
      <c r="D1156" s="1506"/>
      <c r="E1156" s="1393"/>
      <c r="F1156" s="1393"/>
      <c r="G1156" s="1393"/>
      <c r="H1156" s="1507"/>
      <c r="I1156" s="1508"/>
      <c r="J1156" s="1508"/>
      <c r="K1156" s="1509"/>
      <c r="L1156" s="1509"/>
      <c r="M1156" s="1509"/>
      <c r="N1156" s="1509"/>
      <c r="O1156" s="1509"/>
      <c r="P1156" s="1509"/>
      <c r="Q1156" s="1314"/>
      <c r="R1156" s="1314"/>
      <c r="S1156" s="1314"/>
      <c r="T1156" s="1314"/>
      <c r="U1156" s="1314"/>
      <c r="V1156" s="1314"/>
      <c r="W1156" s="1314"/>
      <c r="X1156" s="1314"/>
      <c r="Y1156" s="1314"/>
      <c r="Z1156" s="1314"/>
    </row>
    <row r="1157" spans="1:26" ht="18.75">
      <c r="A1157" s="1393"/>
      <c r="B1157" s="1393"/>
      <c r="C1157" s="1393"/>
      <c r="D1157" s="1506"/>
      <c r="E1157" s="1393"/>
      <c r="F1157" s="1393"/>
      <c r="G1157" s="1393"/>
      <c r="H1157" s="1507"/>
      <c r="I1157" s="1508"/>
      <c r="J1157" s="1508"/>
      <c r="K1157" s="1509"/>
      <c r="L1157" s="1509"/>
      <c r="M1157" s="1509"/>
      <c r="N1157" s="1509"/>
      <c r="O1157" s="1509"/>
      <c r="P1157" s="1509"/>
      <c r="Q1157" s="1314"/>
      <c r="R1157" s="1314"/>
      <c r="S1157" s="1314"/>
      <c r="T1157" s="1314"/>
      <c r="U1157" s="1314"/>
      <c r="V1157" s="1314"/>
      <c r="W1157" s="1314"/>
      <c r="X1157" s="1314"/>
      <c r="Y1157" s="1314"/>
      <c r="Z1157" s="1314"/>
    </row>
    <row r="1158" spans="1:26" ht="18.75">
      <c r="A1158" s="1393"/>
      <c r="B1158" s="1393"/>
      <c r="C1158" s="1393"/>
      <c r="D1158" s="1506"/>
      <c r="E1158" s="1393"/>
      <c r="F1158" s="1393"/>
      <c r="G1158" s="1393"/>
      <c r="H1158" s="1507"/>
      <c r="I1158" s="1508"/>
      <c r="J1158" s="1508"/>
      <c r="K1158" s="1509"/>
      <c r="L1158" s="1509"/>
      <c r="M1158" s="1509"/>
      <c r="N1158" s="1509"/>
      <c r="O1158" s="1509"/>
      <c r="P1158" s="1509"/>
      <c r="Q1158" s="1314"/>
      <c r="R1158" s="1314"/>
      <c r="S1158" s="1314"/>
      <c r="T1158" s="1314"/>
      <c r="U1158" s="1314"/>
      <c r="V1158" s="1314"/>
      <c r="W1158" s="1314"/>
      <c r="X1158" s="1314"/>
      <c r="Y1158" s="1314"/>
      <c r="Z1158" s="1314"/>
    </row>
    <row r="1159" spans="1:26" ht="18.75">
      <c r="A1159" s="1393"/>
      <c r="B1159" s="1393"/>
      <c r="C1159" s="1393"/>
      <c r="D1159" s="1506"/>
      <c r="E1159" s="1393"/>
      <c r="F1159" s="1393"/>
      <c r="G1159" s="1393"/>
      <c r="H1159" s="1507"/>
      <c r="I1159" s="1508"/>
      <c r="J1159" s="1508"/>
      <c r="K1159" s="1509"/>
      <c r="L1159" s="1509"/>
      <c r="M1159" s="1509"/>
      <c r="N1159" s="1509"/>
      <c r="O1159" s="1509"/>
      <c r="P1159" s="1509"/>
      <c r="Q1159" s="1314"/>
      <c r="R1159" s="1314"/>
      <c r="S1159" s="1314"/>
      <c r="T1159" s="1314"/>
      <c r="U1159" s="1314"/>
      <c r="V1159" s="1314"/>
      <c r="W1159" s="1314"/>
      <c r="X1159" s="1314"/>
      <c r="Y1159" s="1314"/>
      <c r="Z1159" s="1314"/>
    </row>
    <row r="1160" spans="1:26" ht="18.75">
      <c r="A1160" s="1393"/>
      <c r="B1160" s="1393"/>
      <c r="C1160" s="1393"/>
      <c r="D1160" s="1506"/>
      <c r="E1160" s="1393"/>
      <c r="F1160" s="1393"/>
      <c r="G1160" s="1393"/>
      <c r="H1160" s="1507"/>
      <c r="I1160" s="1508"/>
      <c r="J1160" s="1508"/>
      <c r="K1160" s="1509"/>
      <c r="L1160" s="1509"/>
      <c r="M1160" s="1509"/>
      <c r="N1160" s="1509"/>
      <c r="O1160" s="1509"/>
      <c r="P1160" s="1509"/>
      <c r="Q1160" s="1314"/>
      <c r="R1160" s="1314"/>
      <c r="S1160" s="1314"/>
      <c r="T1160" s="1314"/>
      <c r="U1160" s="1314"/>
      <c r="V1160" s="1314"/>
      <c r="W1160" s="1314"/>
      <c r="X1160" s="1314"/>
      <c r="Y1160" s="1314"/>
      <c r="Z1160" s="1314"/>
    </row>
    <row r="1161" spans="1:26" ht="18.75">
      <c r="A1161" s="1393"/>
      <c r="B1161" s="1393"/>
      <c r="C1161" s="1393"/>
      <c r="D1161" s="1506"/>
      <c r="E1161" s="1393"/>
      <c r="F1161" s="1393"/>
      <c r="G1161" s="1393"/>
      <c r="H1161" s="1507"/>
      <c r="I1161" s="1508"/>
      <c r="J1161" s="1508"/>
      <c r="K1161" s="1509"/>
      <c r="L1161" s="1509"/>
      <c r="M1161" s="1509"/>
      <c r="N1161" s="1509"/>
      <c r="O1161" s="1509"/>
      <c r="P1161" s="1509"/>
      <c r="Q1161" s="1314"/>
      <c r="R1161" s="1314"/>
      <c r="S1161" s="1314"/>
      <c r="T1161" s="1314"/>
      <c r="U1161" s="1314"/>
      <c r="V1161" s="1314"/>
      <c r="W1161" s="1314"/>
      <c r="X1161" s="1314"/>
      <c r="Y1161" s="1314"/>
      <c r="Z1161" s="1314"/>
    </row>
    <row r="1162" spans="1:26" ht="18.75">
      <c r="A1162" s="1393"/>
      <c r="B1162" s="1393"/>
      <c r="C1162" s="1393"/>
      <c r="D1162" s="1506"/>
      <c r="E1162" s="1393"/>
      <c r="F1162" s="1393"/>
      <c r="G1162" s="1393"/>
      <c r="H1162" s="1507"/>
      <c r="I1162" s="1508"/>
      <c r="J1162" s="1508"/>
      <c r="K1162" s="1509"/>
      <c r="L1162" s="1509"/>
      <c r="M1162" s="1509"/>
      <c r="N1162" s="1509"/>
      <c r="O1162" s="1509"/>
      <c r="P1162" s="1509"/>
      <c r="Q1162" s="1314"/>
      <c r="R1162" s="1314"/>
      <c r="S1162" s="1314"/>
      <c r="T1162" s="1314"/>
      <c r="U1162" s="1314"/>
      <c r="V1162" s="1314"/>
      <c r="W1162" s="1314"/>
      <c r="X1162" s="1314"/>
      <c r="Y1162" s="1314"/>
      <c r="Z1162" s="1314"/>
    </row>
    <row r="1163" spans="1:26" ht="18.75">
      <c r="A1163" s="1393"/>
      <c r="B1163" s="1393"/>
      <c r="C1163" s="1393"/>
      <c r="D1163" s="1506"/>
      <c r="E1163" s="1393"/>
      <c r="F1163" s="1393"/>
      <c r="G1163" s="1393"/>
      <c r="H1163" s="1507"/>
      <c r="I1163" s="1508"/>
      <c r="J1163" s="1508"/>
      <c r="K1163" s="1509"/>
      <c r="L1163" s="1509"/>
      <c r="M1163" s="1509"/>
      <c r="N1163" s="1509"/>
      <c r="O1163" s="1509"/>
      <c r="P1163" s="1509"/>
      <c r="Q1163" s="1314"/>
      <c r="R1163" s="1314"/>
      <c r="S1163" s="1314"/>
      <c r="T1163" s="1314"/>
      <c r="U1163" s="1314"/>
      <c r="V1163" s="1314"/>
      <c r="W1163" s="1314"/>
      <c r="X1163" s="1314"/>
      <c r="Y1163" s="1314"/>
      <c r="Z1163" s="1314"/>
    </row>
    <row r="1164" spans="1:26" ht="18.75">
      <c r="A1164" s="1393"/>
      <c r="B1164" s="1393"/>
      <c r="C1164" s="1393"/>
      <c r="D1164" s="1506"/>
      <c r="E1164" s="1393"/>
      <c r="F1164" s="1393"/>
      <c r="G1164" s="1393"/>
      <c r="H1164" s="1507"/>
      <c r="I1164" s="1508"/>
      <c r="J1164" s="1508"/>
      <c r="K1164" s="1509"/>
      <c r="L1164" s="1509"/>
      <c r="M1164" s="1509"/>
      <c r="N1164" s="1509"/>
      <c r="O1164" s="1509"/>
      <c r="P1164" s="1509"/>
      <c r="Q1164" s="1314"/>
      <c r="R1164" s="1314"/>
      <c r="S1164" s="1314"/>
      <c r="T1164" s="1314"/>
      <c r="U1164" s="1314"/>
      <c r="V1164" s="1314"/>
      <c r="W1164" s="1314"/>
      <c r="X1164" s="1314"/>
      <c r="Y1164" s="1314"/>
      <c r="Z1164" s="1314"/>
    </row>
    <row r="1165" spans="1:26" ht="18.75">
      <c r="A1165" s="1393"/>
      <c r="B1165" s="1393"/>
      <c r="C1165" s="1393"/>
      <c r="D1165" s="1506"/>
      <c r="E1165" s="1393"/>
      <c r="F1165" s="1393"/>
      <c r="G1165" s="1393"/>
      <c r="H1165" s="1507"/>
      <c r="I1165" s="1508"/>
      <c r="J1165" s="1508"/>
      <c r="K1165" s="1509"/>
      <c r="L1165" s="1509"/>
      <c r="M1165" s="1509"/>
      <c r="N1165" s="1509"/>
      <c r="O1165" s="1509"/>
      <c r="P1165" s="1509"/>
      <c r="Q1165" s="1314"/>
      <c r="R1165" s="1314"/>
      <c r="S1165" s="1314"/>
      <c r="T1165" s="1314"/>
      <c r="U1165" s="1314"/>
      <c r="V1165" s="1314"/>
      <c r="W1165" s="1314"/>
      <c r="X1165" s="1314"/>
      <c r="Y1165" s="1314"/>
      <c r="Z1165" s="1314"/>
    </row>
    <row r="1166" spans="1:26" ht="18.75">
      <c r="A1166" s="1393"/>
      <c r="B1166" s="1393"/>
      <c r="C1166" s="1393"/>
      <c r="D1166" s="1506"/>
      <c r="E1166" s="1393"/>
      <c r="F1166" s="1393"/>
      <c r="G1166" s="1393"/>
      <c r="H1166" s="1507"/>
      <c r="I1166" s="1508"/>
      <c r="J1166" s="1508"/>
      <c r="K1166" s="1509"/>
      <c r="L1166" s="1509"/>
      <c r="M1166" s="1509"/>
      <c r="N1166" s="1509"/>
      <c r="O1166" s="1509"/>
      <c r="P1166" s="1509"/>
      <c r="Q1166" s="1314"/>
      <c r="R1166" s="1314"/>
      <c r="S1166" s="1314"/>
      <c r="T1166" s="1314"/>
      <c r="U1166" s="1314"/>
      <c r="V1166" s="1314"/>
      <c r="W1166" s="1314"/>
      <c r="X1166" s="1314"/>
      <c r="Y1166" s="1314"/>
      <c r="Z1166" s="1314"/>
    </row>
    <row r="1167" spans="1:26" ht="18.75">
      <c r="A1167" s="1393"/>
      <c r="B1167" s="1393"/>
      <c r="C1167" s="1393"/>
      <c r="D1167" s="1506"/>
      <c r="E1167" s="1393"/>
      <c r="F1167" s="1393"/>
      <c r="G1167" s="1393"/>
      <c r="H1167" s="1507"/>
      <c r="I1167" s="1508"/>
      <c r="J1167" s="1508"/>
      <c r="K1167" s="1509"/>
      <c r="L1167" s="1509"/>
      <c r="M1167" s="1509"/>
      <c r="N1167" s="1509"/>
      <c r="O1167" s="1509"/>
      <c r="P1167" s="1509"/>
      <c r="Q1167" s="1314"/>
      <c r="R1167" s="1314"/>
      <c r="S1167" s="1314"/>
      <c r="T1167" s="1314"/>
      <c r="U1167" s="1314"/>
      <c r="V1167" s="1314"/>
      <c r="W1167" s="1314"/>
      <c r="X1167" s="1314"/>
      <c r="Y1167" s="1314"/>
      <c r="Z1167" s="1314"/>
    </row>
    <row r="1168" spans="1:26" ht="18.75">
      <c r="A1168" s="1393"/>
      <c r="B1168" s="1393"/>
      <c r="C1168" s="1393"/>
      <c r="D1168" s="1506"/>
      <c r="E1168" s="1393"/>
      <c r="F1168" s="1393"/>
      <c r="G1168" s="1393"/>
      <c r="H1168" s="1507"/>
      <c r="I1168" s="1508"/>
      <c r="J1168" s="1508"/>
      <c r="K1168" s="1509"/>
      <c r="L1168" s="1509"/>
      <c r="M1168" s="1509"/>
      <c r="N1168" s="1509"/>
      <c r="O1168" s="1509"/>
      <c r="P1168" s="1509"/>
      <c r="Q1168" s="1314"/>
      <c r="R1168" s="1314"/>
      <c r="S1168" s="1314"/>
      <c r="T1168" s="1314"/>
      <c r="U1168" s="1314"/>
      <c r="V1168" s="1314"/>
      <c r="W1168" s="1314"/>
      <c r="X1168" s="1314"/>
      <c r="Y1168" s="1314"/>
      <c r="Z1168" s="1314"/>
    </row>
    <row r="1169" spans="1:26" ht="18.75">
      <c r="A1169" s="1393"/>
      <c r="B1169" s="1393"/>
      <c r="C1169" s="1393"/>
      <c r="D1169" s="1506"/>
      <c r="E1169" s="1393"/>
      <c r="F1169" s="1393"/>
      <c r="G1169" s="1393"/>
      <c r="H1169" s="1507"/>
      <c r="I1169" s="1508"/>
      <c r="J1169" s="1508"/>
      <c r="K1169" s="1509"/>
      <c r="L1169" s="1509"/>
      <c r="M1169" s="1509"/>
      <c r="N1169" s="1509"/>
      <c r="O1169" s="1509"/>
      <c r="P1169" s="1509"/>
      <c r="Q1169" s="1314"/>
      <c r="R1169" s="1314"/>
      <c r="S1169" s="1314"/>
      <c r="T1169" s="1314"/>
      <c r="U1169" s="1314"/>
      <c r="V1169" s="1314"/>
      <c r="W1169" s="1314"/>
      <c r="X1169" s="1314"/>
      <c r="Y1169" s="1314"/>
      <c r="Z1169" s="1314"/>
    </row>
    <row r="1170" spans="1:26" ht="18.75">
      <c r="A1170" s="1393"/>
      <c r="B1170" s="1393"/>
      <c r="C1170" s="1393"/>
      <c r="D1170" s="1506"/>
      <c r="E1170" s="1393"/>
      <c r="F1170" s="1393"/>
      <c r="G1170" s="1393"/>
      <c r="H1170" s="1507"/>
      <c r="I1170" s="1508"/>
      <c r="J1170" s="1508"/>
      <c r="K1170" s="1509"/>
      <c r="L1170" s="1509"/>
      <c r="M1170" s="1509"/>
      <c r="N1170" s="1509"/>
      <c r="O1170" s="1509"/>
      <c r="P1170" s="1509"/>
      <c r="Q1170" s="1314"/>
      <c r="R1170" s="1314"/>
      <c r="S1170" s="1314"/>
      <c r="T1170" s="1314"/>
      <c r="U1170" s="1314"/>
      <c r="V1170" s="1314"/>
      <c r="W1170" s="1314"/>
      <c r="X1170" s="1314"/>
      <c r="Y1170" s="1314"/>
      <c r="Z1170" s="1314"/>
    </row>
    <row r="1171" spans="1:26" ht="18.75">
      <c r="A1171" s="1393"/>
      <c r="B1171" s="1393"/>
      <c r="C1171" s="1393"/>
      <c r="D1171" s="1506"/>
      <c r="E1171" s="1393"/>
      <c r="F1171" s="1393"/>
      <c r="G1171" s="1393"/>
      <c r="H1171" s="1507"/>
      <c r="I1171" s="1508"/>
      <c r="J1171" s="1508"/>
      <c r="K1171" s="1509"/>
      <c r="L1171" s="1509"/>
      <c r="M1171" s="1509"/>
      <c r="N1171" s="1509"/>
      <c r="O1171" s="1509"/>
      <c r="P1171" s="1509"/>
      <c r="Q1171" s="1314"/>
      <c r="R1171" s="1314"/>
      <c r="S1171" s="1314"/>
      <c r="T1171" s="1314"/>
      <c r="U1171" s="1314"/>
      <c r="V1171" s="1314"/>
      <c r="W1171" s="1314"/>
      <c r="X1171" s="1314"/>
      <c r="Y1171" s="1314"/>
      <c r="Z1171" s="1314"/>
    </row>
    <row r="1172" spans="1:26" ht="18.75">
      <c r="A1172" s="1393"/>
      <c r="B1172" s="1393"/>
      <c r="C1172" s="1393"/>
      <c r="D1172" s="1506"/>
      <c r="E1172" s="1393"/>
      <c r="F1172" s="1393"/>
      <c r="G1172" s="1393"/>
      <c r="H1172" s="1507"/>
      <c r="I1172" s="1508"/>
      <c r="J1172" s="1508"/>
      <c r="K1172" s="1509"/>
      <c r="L1172" s="1509"/>
      <c r="M1172" s="1509"/>
      <c r="N1172" s="1509"/>
      <c r="O1172" s="1509"/>
      <c r="P1172" s="1509"/>
      <c r="Q1172" s="1314"/>
      <c r="R1172" s="1314"/>
      <c r="S1172" s="1314"/>
      <c r="T1172" s="1314"/>
      <c r="U1172" s="1314"/>
      <c r="V1172" s="1314"/>
      <c r="W1172" s="1314"/>
      <c r="X1172" s="1314"/>
      <c r="Y1172" s="1314"/>
      <c r="Z1172" s="1314"/>
    </row>
    <row r="1173" spans="1:26" ht="18.75">
      <c r="A1173" s="1393"/>
      <c r="B1173" s="1393"/>
      <c r="C1173" s="1393"/>
      <c r="D1173" s="1506"/>
      <c r="E1173" s="1393"/>
      <c r="F1173" s="1393"/>
      <c r="G1173" s="1393"/>
      <c r="H1173" s="1507"/>
      <c r="I1173" s="1508"/>
      <c r="J1173" s="1508"/>
      <c r="K1173" s="1509"/>
      <c r="L1173" s="1509"/>
      <c r="M1173" s="1509"/>
      <c r="N1173" s="1509"/>
      <c r="O1173" s="1509"/>
      <c r="P1173" s="1509"/>
      <c r="Q1173" s="1314"/>
      <c r="R1173" s="1314"/>
      <c r="S1173" s="1314"/>
      <c r="T1173" s="1314"/>
      <c r="U1173" s="1314"/>
      <c r="V1173" s="1314"/>
      <c r="W1173" s="1314"/>
      <c r="X1173" s="1314"/>
      <c r="Y1173" s="1314"/>
      <c r="Z1173" s="1314"/>
    </row>
    <row r="1174" spans="1:26" ht="18.75">
      <c r="A1174" s="1393"/>
      <c r="B1174" s="1393"/>
      <c r="C1174" s="1393"/>
      <c r="D1174" s="1506"/>
      <c r="E1174" s="1393"/>
      <c r="F1174" s="1393"/>
      <c r="G1174" s="1393"/>
      <c r="H1174" s="1507"/>
      <c r="I1174" s="1508"/>
      <c r="J1174" s="1508"/>
      <c r="K1174" s="1509"/>
      <c r="L1174" s="1509"/>
      <c r="M1174" s="1509"/>
      <c r="N1174" s="1509"/>
      <c r="O1174" s="1509"/>
      <c r="P1174" s="1509"/>
      <c r="Q1174" s="1314"/>
      <c r="R1174" s="1314"/>
      <c r="S1174" s="1314"/>
      <c r="T1174" s="1314"/>
      <c r="U1174" s="1314"/>
      <c r="V1174" s="1314"/>
      <c r="W1174" s="1314"/>
      <c r="X1174" s="1314"/>
      <c r="Y1174" s="1314"/>
      <c r="Z1174" s="1314"/>
    </row>
    <row r="1175" spans="1:26" ht="18.75">
      <c r="A1175" s="1393"/>
      <c r="B1175" s="1393"/>
      <c r="C1175" s="1393"/>
      <c r="D1175" s="1506"/>
      <c r="E1175" s="1393"/>
      <c r="F1175" s="1393"/>
      <c r="G1175" s="1393"/>
      <c r="H1175" s="1507"/>
      <c r="I1175" s="1508"/>
      <c r="J1175" s="1508"/>
      <c r="K1175" s="1509"/>
      <c r="L1175" s="1509"/>
      <c r="M1175" s="1509"/>
      <c r="N1175" s="1509"/>
      <c r="O1175" s="1509"/>
      <c r="P1175" s="1509"/>
      <c r="Q1175" s="1314"/>
      <c r="R1175" s="1314"/>
      <c r="S1175" s="1314"/>
      <c r="T1175" s="1314"/>
      <c r="U1175" s="1314"/>
      <c r="V1175" s="1314"/>
      <c r="W1175" s="1314"/>
      <c r="X1175" s="1314"/>
      <c r="Y1175" s="1314"/>
      <c r="Z1175" s="1314"/>
    </row>
    <row r="1176" spans="1:26" ht="18.75">
      <c r="A1176" s="1393"/>
      <c r="B1176" s="1393"/>
      <c r="C1176" s="1393"/>
      <c r="D1176" s="1506"/>
      <c r="E1176" s="1393"/>
      <c r="F1176" s="1393"/>
      <c r="G1176" s="1393"/>
      <c r="H1176" s="1507"/>
      <c r="I1176" s="1508"/>
      <c r="J1176" s="1508"/>
      <c r="K1176" s="1509"/>
      <c r="L1176" s="1509"/>
      <c r="M1176" s="1509"/>
      <c r="N1176" s="1509"/>
      <c r="O1176" s="1509"/>
      <c r="P1176" s="1509"/>
      <c r="Q1176" s="1314"/>
      <c r="R1176" s="1314"/>
      <c r="S1176" s="1314"/>
      <c r="T1176" s="1314"/>
      <c r="U1176" s="1314"/>
      <c r="V1176" s="1314"/>
      <c r="W1176" s="1314"/>
      <c r="X1176" s="1314"/>
      <c r="Y1176" s="1314"/>
      <c r="Z1176" s="1314"/>
    </row>
    <row r="1177" spans="1:26" ht="18.75">
      <c r="A1177" s="1393"/>
      <c r="B1177" s="1393"/>
      <c r="C1177" s="1393"/>
      <c r="D1177" s="1506"/>
      <c r="E1177" s="1393"/>
      <c r="F1177" s="1393"/>
      <c r="G1177" s="1393"/>
      <c r="H1177" s="1507"/>
      <c r="I1177" s="1508"/>
      <c r="J1177" s="1508"/>
      <c r="K1177" s="1509"/>
      <c r="L1177" s="1509"/>
      <c r="M1177" s="1509"/>
      <c r="N1177" s="1509"/>
      <c r="O1177" s="1509"/>
      <c r="P1177" s="1509"/>
      <c r="Q1177" s="1314"/>
      <c r="R1177" s="1314"/>
      <c r="S1177" s="1314"/>
      <c r="T1177" s="1314"/>
      <c r="U1177" s="1314"/>
      <c r="V1177" s="1314"/>
      <c r="W1177" s="1314"/>
      <c r="X1177" s="1314"/>
      <c r="Y1177" s="1314"/>
      <c r="Z1177" s="1314"/>
    </row>
    <row r="1178" spans="1:26" ht="18.75">
      <c r="A1178" s="1393"/>
      <c r="B1178" s="1393"/>
      <c r="C1178" s="1393"/>
      <c r="D1178" s="1506"/>
      <c r="E1178" s="1393"/>
      <c r="F1178" s="1393"/>
      <c r="G1178" s="1393"/>
      <c r="H1178" s="1507"/>
      <c r="I1178" s="1508"/>
      <c r="J1178" s="1508"/>
      <c r="K1178" s="1509"/>
      <c r="L1178" s="1509"/>
      <c r="M1178" s="1509"/>
      <c r="N1178" s="1509"/>
      <c r="O1178" s="1509"/>
      <c r="P1178" s="1509"/>
      <c r="Q1178" s="1314"/>
      <c r="R1178" s="1314"/>
      <c r="S1178" s="1314"/>
      <c r="T1178" s="1314"/>
      <c r="U1178" s="1314"/>
      <c r="V1178" s="1314"/>
      <c r="W1178" s="1314"/>
      <c r="X1178" s="1314"/>
      <c r="Y1178" s="1314"/>
      <c r="Z1178" s="1314"/>
    </row>
    <row r="1179" spans="1:26" ht="18.75">
      <c r="A1179" s="1393"/>
      <c r="B1179" s="1393"/>
      <c r="C1179" s="1393"/>
      <c r="D1179" s="1506"/>
      <c r="E1179" s="1393"/>
      <c r="F1179" s="1393"/>
      <c r="G1179" s="1393"/>
      <c r="H1179" s="1507"/>
      <c r="I1179" s="1508"/>
      <c r="J1179" s="1508"/>
      <c r="K1179" s="1509"/>
      <c r="L1179" s="1509"/>
      <c r="M1179" s="1509"/>
      <c r="N1179" s="1509"/>
      <c r="O1179" s="1509"/>
      <c r="P1179" s="1509"/>
      <c r="Q1179" s="1314"/>
      <c r="R1179" s="1314"/>
      <c r="S1179" s="1314"/>
      <c r="T1179" s="1314"/>
      <c r="U1179" s="1314"/>
      <c r="V1179" s="1314"/>
      <c r="W1179" s="1314"/>
      <c r="X1179" s="1314"/>
      <c r="Y1179" s="1314"/>
      <c r="Z1179" s="1314"/>
    </row>
    <row r="1180" spans="1:26" ht="18.75">
      <c r="A1180" s="1393"/>
      <c r="B1180" s="1393"/>
      <c r="C1180" s="1393"/>
      <c r="D1180" s="1506"/>
      <c r="E1180" s="1393"/>
      <c r="F1180" s="1393"/>
      <c r="G1180" s="1393"/>
      <c r="H1180" s="1507"/>
      <c r="I1180" s="1508"/>
      <c r="J1180" s="1508"/>
      <c r="K1180" s="1509"/>
      <c r="L1180" s="1509"/>
      <c r="M1180" s="1509"/>
      <c r="N1180" s="1509"/>
      <c r="O1180" s="1509"/>
      <c r="P1180" s="1509"/>
      <c r="Q1180" s="1314"/>
      <c r="R1180" s="1314"/>
      <c r="S1180" s="1314"/>
      <c r="T1180" s="1314"/>
      <c r="U1180" s="1314"/>
      <c r="V1180" s="1314"/>
      <c r="W1180" s="1314"/>
      <c r="X1180" s="1314"/>
      <c r="Y1180" s="1314"/>
      <c r="Z1180" s="1314"/>
    </row>
    <row r="1181" spans="1:26" ht="18.75">
      <c r="A1181" s="1393"/>
      <c r="B1181" s="1393"/>
      <c r="C1181" s="1393"/>
      <c r="D1181" s="1506"/>
      <c r="E1181" s="1393"/>
      <c r="F1181" s="1393"/>
      <c r="G1181" s="1393"/>
      <c r="H1181" s="1507"/>
      <c r="I1181" s="1508"/>
      <c r="J1181" s="1508"/>
      <c r="K1181" s="1509"/>
      <c r="L1181" s="1509"/>
      <c r="M1181" s="1509"/>
      <c r="N1181" s="1509"/>
      <c r="O1181" s="1509"/>
      <c r="P1181" s="1509"/>
      <c r="Q1181" s="1314"/>
      <c r="R1181" s="1314"/>
      <c r="S1181" s="1314"/>
      <c r="T1181" s="1314"/>
      <c r="U1181" s="1314"/>
      <c r="V1181" s="1314"/>
      <c r="W1181" s="1314"/>
      <c r="X1181" s="1314"/>
      <c r="Y1181" s="1314"/>
      <c r="Z1181" s="1314"/>
    </row>
    <row r="1182" spans="1:26" ht="18.75">
      <c r="A1182" s="1393"/>
      <c r="B1182" s="1393"/>
      <c r="C1182" s="1393"/>
      <c r="D1182" s="1506"/>
      <c r="E1182" s="1393"/>
      <c r="F1182" s="1393"/>
      <c r="G1182" s="1393"/>
      <c r="H1182" s="1507"/>
      <c r="I1182" s="1508"/>
      <c r="J1182" s="1508"/>
      <c r="K1182" s="1509"/>
      <c r="L1182" s="1509"/>
      <c r="M1182" s="1509"/>
      <c r="N1182" s="1509"/>
      <c r="O1182" s="1509"/>
      <c r="P1182" s="1509"/>
      <c r="Q1182" s="1314"/>
      <c r="R1182" s="1314"/>
      <c r="S1182" s="1314"/>
      <c r="T1182" s="1314"/>
      <c r="U1182" s="1314"/>
      <c r="V1182" s="1314"/>
      <c r="W1182" s="1314"/>
      <c r="X1182" s="1314"/>
      <c r="Y1182" s="1314"/>
      <c r="Z1182" s="1314"/>
    </row>
    <row r="1183" spans="1:26" ht="18.75">
      <c r="A1183" s="1393"/>
      <c r="B1183" s="1393"/>
      <c r="C1183" s="1393"/>
      <c r="D1183" s="1506"/>
      <c r="E1183" s="1393"/>
      <c r="F1183" s="1393"/>
      <c r="G1183" s="1393"/>
      <c r="H1183" s="1507"/>
      <c r="I1183" s="1508"/>
      <c r="J1183" s="1508"/>
      <c r="K1183" s="1509"/>
      <c r="L1183" s="1509"/>
      <c r="M1183" s="1509"/>
      <c r="N1183" s="1509"/>
      <c r="O1183" s="1509"/>
      <c r="P1183" s="1509"/>
      <c r="Q1183" s="1314"/>
      <c r="R1183" s="1314"/>
      <c r="S1183" s="1314"/>
      <c r="T1183" s="1314"/>
      <c r="U1183" s="1314"/>
      <c r="V1183" s="1314"/>
      <c r="W1183" s="1314"/>
      <c r="X1183" s="1314"/>
      <c r="Y1183" s="1314"/>
      <c r="Z1183" s="1314"/>
    </row>
    <row r="1184" spans="1:26" ht="18.75">
      <c r="A1184" s="1393"/>
      <c r="B1184" s="1393"/>
      <c r="C1184" s="1393"/>
      <c r="D1184" s="1506"/>
      <c r="E1184" s="1393"/>
      <c r="F1184" s="1393"/>
      <c r="G1184" s="1393"/>
      <c r="H1184" s="1507"/>
      <c r="I1184" s="1508"/>
      <c r="J1184" s="1508"/>
      <c r="K1184" s="1509"/>
      <c r="L1184" s="1509"/>
      <c r="M1184" s="1509"/>
      <c r="N1184" s="1509"/>
      <c r="O1184" s="1509"/>
      <c r="P1184" s="1509"/>
      <c r="Q1184" s="1314"/>
      <c r="R1184" s="1314"/>
      <c r="S1184" s="1314"/>
      <c r="T1184" s="1314"/>
      <c r="U1184" s="1314"/>
      <c r="V1184" s="1314"/>
      <c r="W1184" s="1314"/>
      <c r="X1184" s="1314"/>
      <c r="Y1184" s="1314"/>
      <c r="Z1184" s="1314"/>
    </row>
    <row r="1185" spans="1:26" ht="18.75">
      <c r="A1185" s="1393"/>
      <c r="B1185" s="1393"/>
      <c r="C1185" s="1393"/>
      <c r="D1185" s="1506"/>
      <c r="E1185" s="1393"/>
      <c r="F1185" s="1393"/>
      <c r="G1185" s="1393"/>
      <c r="H1185" s="1507"/>
      <c r="I1185" s="1508"/>
      <c r="J1185" s="1508"/>
      <c r="K1185" s="1509"/>
      <c r="L1185" s="1509"/>
      <c r="M1185" s="1509"/>
      <c r="N1185" s="1509"/>
      <c r="O1185" s="1509"/>
      <c r="P1185" s="1509"/>
      <c r="Q1185" s="1314"/>
      <c r="R1185" s="1314"/>
      <c r="S1185" s="1314"/>
      <c r="T1185" s="1314"/>
      <c r="U1185" s="1314"/>
      <c r="V1185" s="1314"/>
      <c r="W1185" s="1314"/>
      <c r="X1185" s="1314"/>
      <c r="Y1185" s="1314"/>
      <c r="Z1185" s="1314"/>
    </row>
    <row r="1186" spans="1:26" ht="18.75">
      <c r="A1186" s="1393"/>
      <c r="B1186" s="1393"/>
      <c r="C1186" s="1393"/>
      <c r="D1186" s="1506"/>
      <c r="E1186" s="1393"/>
      <c r="F1186" s="1393"/>
      <c r="G1186" s="1393"/>
      <c r="H1186" s="1507"/>
      <c r="I1186" s="1508"/>
      <c r="J1186" s="1508"/>
      <c r="K1186" s="1509"/>
      <c r="L1186" s="1509"/>
      <c r="M1186" s="1509"/>
      <c r="N1186" s="1509"/>
      <c r="O1186" s="1509"/>
      <c r="P1186" s="1509"/>
      <c r="Q1186" s="1314"/>
      <c r="R1186" s="1314"/>
      <c r="S1186" s="1314"/>
      <c r="T1186" s="1314"/>
      <c r="U1186" s="1314"/>
      <c r="V1186" s="1314"/>
      <c r="W1186" s="1314"/>
      <c r="X1186" s="1314"/>
      <c r="Y1186" s="1314"/>
      <c r="Z1186" s="1314"/>
    </row>
    <row r="1187" spans="1:26" ht="18.75">
      <c r="A1187" s="1393"/>
      <c r="B1187" s="1393"/>
      <c r="C1187" s="1393"/>
      <c r="D1187" s="1506"/>
      <c r="E1187" s="1393"/>
      <c r="F1187" s="1393"/>
      <c r="G1187" s="1393"/>
      <c r="H1187" s="1507"/>
      <c r="I1187" s="1508"/>
      <c r="J1187" s="1508"/>
      <c r="K1187" s="1509"/>
      <c r="L1187" s="1509"/>
      <c r="M1187" s="1509"/>
      <c r="N1187" s="1509"/>
      <c r="O1187" s="1509"/>
      <c r="P1187" s="1509"/>
      <c r="Q1187" s="1314"/>
      <c r="R1187" s="1314"/>
      <c r="S1187" s="1314"/>
      <c r="T1187" s="1314"/>
      <c r="U1187" s="1314"/>
      <c r="V1187" s="1314"/>
      <c r="W1187" s="1314"/>
      <c r="X1187" s="1314"/>
      <c r="Y1187" s="1314"/>
      <c r="Z1187" s="1314"/>
    </row>
    <row r="1188" spans="1:26" ht="18.75">
      <c r="A1188" s="1393"/>
      <c r="B1188" s="1393"/>
      <c r="C1188" s="1393"/>
      <c r="D1188" s="1506"/>
      <c r="E1188" s="1393"/>
      <c r="F1188" s="1393"/>
      <c r="G1188" s="1393"/>
      <c r="H1188" s="1507"/>
      <c r="I1188" s="1508"/>
      <c r="J1188" s="1508"/>
      <c r="K1188" s="1509"/>
      <c r="L1188" s="1509"/>
      <c r="M1188" s="1509"/>
      <c r="N1188" s="1509"/>
      <c r="O1188" s="1509"/>
      <c r="P1188" s="1509"/>
      <c r="Q1188" s="1314"/>
      <c r="R1188" s="1314"/>
      <c r="S1188" s="1314"/>
      <c r="T1188" s="1314"/>
      <c r="U1188" s="1314"/>
      <c r="V1188" s="1314"/>
      <c r="W1188" s="1314"/>
      <c r="X1188" s="1314"/>
      <c r="Y1188" s="1314"/>
      <c r="Z1188" s="1314"/>
    </row>
    <row r="1189" spans="1:26" ht="18.75">
      <c r="A1189" s="1393"/>
      <c r="B1189" s="1393"/>
      <c r="C1189" s="1393"/>
      <c r="D1189" s="1506"/>
      <c r="E1189" s="1393"/>
      <c r="F1189" s="1393"/>
      <c r="G1189" s="1393"/>
      <c r="H1189" s="1507"/>
      <c r="I1189" s="1508"/>
      <c r="J1189" s="1508"/>
      <c r="K1189" s="1509"/>
      <c r="L1189" s="1509"/>
      <c r="M1189" s="1509"/>
      <c r="N1189" s="1509"/>
      <c r="O1189" s="1509"/>
      <c r="P1189" s="1509"/>
      <c r="Q1189" s="1314"/>
      <c r="R1189" s="1314"/>
      <c r="S1189" s="1314"/>
      <c r="T1189" s="1314"/>
      <c r="U1189" s="1314"/>
      <c r="V1189" s="1314"/>
      <c r="W1189" s="1314"/>
      <c r="X1189" s="1314"/>
      <c r="Y1189" s="1314"/>
      <c r="Z1189" s="1314"/>
    </row>
    <row r="1190" spans="1:26" ht="18.75">
      <c r="A1190" s="1393"/>
      <c r="B1190" s="1393"/>
      <c r="C1190" s="1393"/>
      <c r="D1190" s="1506"/>
      <c r="E1190" s="1393"/>
      <c r="F1190" s="1393"/>
      <c r="G1190" s="1393"/>
      <c r="H1190" s="1507"/>
      <c r="I1190" s="1508"/>
      <c r="J1190" s="1508"/>
      <c r="K1190" s="1509"/>
      <c r="L1190" s="1509"/>
      <c r="M1190" s="1509"/>
      <c r="N1190" s="1509"/>
      <c r="O1190" s="1509"/>
      <c r="P1190" s="1509"/>
      <c r="Q1190" s="1314"/>
      <c r="R1190" s="1314"/>
      <c r="S1190" s="1314"/>
      <c r="T1190" s="1314"/>
      <c r="U1190" s="1314"/>
      <c r="V1190" s="1314"/>
      <c r="W1190" s="1314"/>
      <c r="X1190" s="1314"/>
      <c r="Y1190" s="1314"/>
      <c r="Z1190" s="1314"/>
    </row>
    <row r="1191" spans="1:26" ht="18.75">
      <c r="A1191" s="1393"/>
      <c r="B1191" s="1393"/>
      <c r="C1191" s="1393"/>
      <c r="D1191" s="1506"/>
      <c r="E1191" s="1393"/>
      <c r="F1191" s="1393"/>
      <c r="G1191" s="1393"/>
      <c r="H1191" s="1507"/>
      <c r="I1191" s="1508"/>
      <c r="J1191" s="1508"/>
      <c r="K1191" s="1509"/>
      <c r="L1191" s="1509"/>
      <c r="M1191" s="1509"/>
      <c r="N1191" s="1509"/>
      <c r="O1191" s="1509"/>
      <c r="P1191" s="1509"/>
      <c r="Q1191" s="1314"/>
      <c r="R1191" s="1314"/>
      <c r="S1191" s="1314"/>
      <c r="T1191" s="1314"/>
      <c r="U1191" s="1314"/>
      <c r="V1191" s="1314"/>
      <c r="W1191" s="1314"/>
      <c r="X1191" s="1314"/>
      <c r="Y1191" s="1314"/>
      <c r="Z1191" s="1314"/>
    </row>
    <row r="1192" spans="1:26" ht="18.75">
      <c r="A1192" s="1393"/>
      <c r="B1192" s="1393"/>
      <c r="C1192" s="1393"/>
      <c r="D1192" s="1506"/>
      <c r="E1192" s="1393"/>
      <c r="F1192" s="1393"/>
      <c r="G1192" s="1393"/>
      <c r="H1192" s="1507"/>
      <c r="I1192" s="1508"/>
      <c r="J1192" s="1508"/>
      <c r="K1192" s="1509"/>
      <c r="L1192" s="1509"/>
      <c r="M1192" s="1509"/>
      <c r="N1192" s="1509"/>
      <c r="O1192" s="1509"/>
      <c r="P1192" s="1509"/>
      <c r="Q1192" s="1314"/>
      <c r="R1192" s="1314"/>
      <c r="S1192" s="1314"/>
      <c r="T1192" s="1314"/>
      <c r="U1192" s="1314"/>
      <c r="V1192" s="1314"/>
      <c r="W1192" s="1314"/>
      <c r="X1192" s="1314"/>
      <c r="Y1192" s="1314"/>
      <c r="Z1192" s="1314"/>
    </row>
    <row r="1193" spans="1:26" ht="18.75">
      <c r="A1193" s="1393"/>
      <c r="B1193" s="1393"/>
      <c r="C1193" s="1393"/>
      <c r="D1193" s="1506"/>
      <c r="E1193" s="1393"/>
      <c r="F1193" s="1393"/>
      <c r="G1193" s="1393"/>
      <c r="H1193" s="1507"/>
      <c r="I1193" s="1508"/>
      <c r="J1193" s="1508"/>
      <c r="K1193" s="1509"/>
      <c r="L1193" s="1509"/>
      <c r="M1193" s="1509"/>
      <c r="N1193" s="1509"/>
      <c r="O1193" s="1509"/>
      <c r="P1193" s="1509"/>
      <c r="Q1193" s="1314"/>
      <c r="R1193" s="1314"/>
      <c r="S1193" s="1314"/>
      <c r="T1193" s="1314"/>
      <c r="U1193" s="1314"/>
      <c r="V1193" s="1314"/>
      <c r="W1193" s="1314"/>
      <c r="X1193" s="1314"/>
      <c r="Y1193" s="1314"/>
      <c r="Z1193" s="1314"/>
    </row>
    <row r="1194" spans="1:26" ht="18.75">
      <c r="A1194" s="1393"/>
      <c r="B1194" s="1393"/>
      <c r="C1194" s="1393"/>
      <c r="D1194" s="1506"/>
      <c r="E1194" s="1393"/>
      <c r="F1194" s="1393"/>
      <c r="G1194" s="1393"/>
      <c r="H1194" s="1507"/>
      <c r="I1194" s="1508"/>
      <c r="J1194" s="1508"/>
      <c r="K1194" s="1509"/>
      <c r="L1194" s="1509"/>
      <c r="M1194" s="1509"/>
      <c r="N1194" s="1509"/>
      <c r="O1194" s="1509"/>
      <c r="P1194" s="1509"/>
      <c r="Q1194" s="1314"/>
      <c r="R1194" s="1314"/>
      <c r="S1194" s="1314"/>
      <c r="T1194" s="1314"/>
      <c r="U1194" s="1314"/>
      <c r="V1194" s="1314"/>
      <c r="W1194" s="1314"/>
      <c r="X1194" s="1314"/>
      <c r="Y1194" s="1314"/>
      <c r="Z1194" s="1314"/>
    </row>
    <row r="1195" spans="1:26" ht="18.75">
      <c r="A1195" s="1393"/>
      <c r="B1195" s="1393"/>
      <c r="C1195" s="1393"/>
      <c r="D1195" s="1506"/>
      <c r="E1195" s="1393"/>
      <c r="F1195" s="1393"/>
      <c r="G1195" s="1393"/>
      <c r="H1195" s="1507"/>
      <c r="I1195" s="1508"/>
      <c r="J1195" s="1508"/>
      <c r="K1195" s="1509"/>
      <c r="L1195" s="1509"/>
      <c r="M1195" s="1509"/>
      <c r="N1195" s="1509"/>
      <c r="O1195" s="1509"/>
      <c r="P1195" s="1509"/>
      <c r="Q1195" s="1314"/>
      <c r="R1195" s="1314"/>
      <c r="S1195" s="1314"/>
      <c r="T1195" s="1314"/>
      <c r="U1195" s="1314"/>
      <c r="V1195" s="1314"/>
      <c r="W1195" s="1314"/>
      <c r="X1195" s="1314"/>
      <c r="Y1195" s="1314"/>
      <c r="Z1195" s="1314"/>
    </row>
    <row r="1196" spans="1:26" ht="18.75">
      <c r="A1196" s="1393"/>
      <c r="B1196" s="1393"/>
      <c r="C1196" s="1393"/>
      <c r="D1196" s="1506"/>
      <c r="E1196" s="1393"/>
      <c r="F1196" s="1393"/>
      <c r="G1196" s="1393"/>
      <c r="H1196" s="1507"/>
      <c r="I1196" s="1508"/>
      <c r="J1196" s="1508"/>
      <c r="K1196" s="1509"/>
      <c r="L1196" s="1509"/>
      <c r="M1196" s="1509"/>
      <c r="N1196" s="1509"/>
      <c r="O1196" s="1509"/>
      <c r="P1196" s="1509"/>
      <c r="Q1196" s="1314"/>
      <c r="R1196" s="1314"/>
      <c r="S1196" s="1314"/>
      <c r="T1196" s="1314"/>
      <c r="U1196" s="1314"/>
      <c r="V1196" s="1314"/>
      <c r="W1196" s="1314"/>
      <c r="X1196" s="1314"/>
      <c r="Y1196" s="1314"/>
      <c r="Z1196" s="1314"/>
    </row>
    <row r="1197" spans="1:26" ht="18.75">
      <c r="A1197" s="1393"/>
      <c r="B1197" s="1393"/>
      <c r="C1197" s="1393"/>
      <c r="D1197" s="1506"/>
      <c r="E1197" s="1393"/>
      <c r="F1197" s="1393"/>
      <c r="G1197" s="1393"/>
      <c r="H1197" s="1507"/>
      <c r="I1197" s="1508"/>
      <c r="J1197" s="1508"/>
      <c r="K1197" s="1509"/>
      <c r="L1197" s="1509"/>
      <c r="M1197" s="1509"/>
      <c r="N1197" s="1509"/>
      <c r="O1197" s="1509"/>
      <c r="P1197" s="1509"/>
      <c r="Q1197" s="1314"/>
      <c r="R1197" s="1314"/>
      <c r="S1197" s="1314"/>
      <c r="T1197" s="1314"/>
      <c r="U1197" s="1314"/>
      <c r="V1197" s="1314"/>
      <c r="W1197" s="1314"/>
      <c r="X1197" s="1314"/>
      <c r="Y1197" s="1314"/>
      <c r="Z1197" s="1314"/>
    </row>
    <row r="1198" spans="1:26" ht="18.75">
      <c r="A1198" s="1393"/>
      <c r="B1198" s="1393"/>
      <c r="C1198" s="1393"/>
      <c r="D1198" s="1506"/>
      <c r="E1198" s="1393"/>
      <c r="F1198" s="1393"/>
      <c r="G1198" s="1393"/>
      <c r="H1198" s="1507"/>
      <c r="I1198" s="1508"/>
      <c r="J1198" s="1508"/>
      <c r="K1198" s="1509"/>
      <c r="L1198" s="1509"/>
      <c r="M1198" s="1509"/>
      <c r="N1198" s="1509"/>
      <c r="O1198" s="1509"/>
      <c r="P1198" s="1509"/>
      <c r="Q1198" s="1314"/>
      <c r="R1198" s="1314"/>
      <c r="S1198" s="1314"/>
      <c r="T1198" s="1314"/>
      <c r="U1198" s="1314"/>
      <c r="V1198" s="1314"/>
      <c r="W1198" s="1314"/>
      <c r="X1198" s="1314"/>
      <c r="Y1198" s="1314"/>
      <c r="Z1198" s="1314"/>
    </row>
    <row r="1199" spans="1:26" ht="18.75">
      <c r="A1199" s="1393"/>
      <c r="B1199" s="1393"/>
      <c r="C1199" s="1393"/>
      <c r="D1199" s="1506"/>
      <c r="E1199" s="1393"/>
      <c r="F1199" s="1393"/>
      <c r="G1199" s="1393"/>
      <c r="H1199" s="1507"/>
      <c r="I1199" s="1508"/>
      <c r="J1199" s="1508"/>
      <c r="K1199" s="1509"/>
      <c r="L1199" s="1509"/>
      <c r="M1199" s="1509"/>
      <c r="N1199" s="1509"/>
      <c r="O1199" s="1509"/>
      <c r="P1199" s="1509"/>
      <c r="Q1199" s="1314"/>
      <c r="R1199" s="1314"/>
      <c r="S1199" s="1314"/>
      <c r="T1199" s="1314"/>
      <c r="U1199" s="1314"/>
      <c r="V1199" s="1314"/>
      <c r="W1199" s="1314"/>
      <c r="X1199" s="1314"/>
      <c r="Y1199" s="1314"/>
      <c r="Z1199" s="1314"/>
    </row>
    <row r="1200" spans="1:26" ht="18.75">
      <c r="A1200" s="1393"/>
      <c r="B1200" s="1393"/>
      <c r="C1200" s="1393"/>
      <c r="D1200" s="1506"/>
      <c r="E1200" s="1393"/>
      <c r="F1200" s="1393"/>
      <c r="G1200" s="1393"/>
      <c r="H1200" s="1507"/>
      <c r="I1200" s="1508"/>
      <c r="J1200" s="1508"/>
      <c r="K1200" s="1509"/>
      <c r="L1200" s="1509"/>
      <c r="M1200" s="1509"/>
      <c r="N1200" s="1509"/>
      <c r="O1200" s="1509"/>
      <c r="P1200" s="1509"/>
      <c r="Q1200" s="1314"/>
      <c r="R1200" s="1314"/>
      <c r="S1200" s="1314"/>
      <c r="T1200" s="1314"/>
      <c r="U1200" s="1314"/>
      <c r="V1200" s="1314"/>
      <c r="W1200" s="1314"/>
      <c r="X1200" s="1314"/>
      <c r="Y1200" s="1314"/>
      <c r="Z1200" s="1314"/>
    </row>
    <row r="1201" spans="1:26" ht="18.75">
      <c r="A1201" s="1393"/>
      <c r="B1201" s="1393"/>
      <c r="C1201" s="1393"/>
      <c r="D1201" s="1506"/>
      <c r="E1201" s="1393"/>
      <c r="F1201" s="1393"/>
      <c r="G1201" s="1393"/>
      <c r="H1201" s="1507"/>
      <c r="I1201" s="1508"/>
      <c r="J1201" s="1508"/>
      <c r="K1201" s="1509"/>
      <c r="L1201" s="1509"/>
      <c r="M1201" s="1509"/>
      <c r="N1201" s="1509"/>
      <c r="O1201" s="1509"/>
      <c r="P1201" s="1509"/>
      <c r="Q1201" s="1314"/>
      <c r="R1201" s="1314"/>
      <c r="S1201" s="1314"/>
      <c r="T1201" s="1314"/>
      <c r="U1201" s="1314"/>
      <c r="V1201" s="1314"/>
      <c r="W1201" s="1314"/>
      <c r="X1201" s="1314"/>
      <c r="Y1201" s="1314"/>
      <c r="Z1201" s="1314"/>
    </row>
    <row r="1202" spans="1:26" ht="18.75">
      <c r="A1202" s="1393"/>
      <c r="B1202" s="1393"/>
      <c r="C1202" s="1393"/>
      <c r="D1202" s="1506"/>
      <c r="E1202" s="1393"/>
      <c r="F1202" s="1393"/>
      <c r="G1202" s="1393"/>
      <c r="H1202" s="1507"/>
      <c r="I1202" s="1508"/>
      <c r="J1202" s="1508"/>
      <c r="K1202" s="1509"/>
      <c r="L1202" s="1509"/>
      <c r="M1202" s="1509"/>
      <c r="N1202" s="1509"/>
      <c r="O1202" s="1509"/>
      <c r="P1202" s="1509"/>
      <c r="Q1202" s="1314"/>
      <c r="R1202" s="1314"/>
      <c r="S1202" s="1314"/>
      <c r="T1202" s="1314"/>
      <c r="U1202" s="1314"/>
      <c r="V1202" s="1314"/>
      <c r="W1202" s="1314"/>
      <c r="X1202" s="1314"/>
      <c r="Y1202" s="1314"/>
      <c r="Z1202" s="1314"/>
    </row>
    <row r="1203" spans="1:26" ht="18.75">
      <c r="A1203" s="1393"/>
      <c r="B1203" s="1393"/>
      <c r="C1203" s="1393"/>
      <c r="D1203" s="1506"/>
      <c r="E1203" s="1393"/>
      <c r="F1203" s="1393"/>
      <c r="G1203" s="1393"/>
      <c r="H1203" s="1507"/>
      <c r="I1203" s="1508"/>
      <c r="J1203" s="1508"/>
      <c r="K1203" s="1509"/>
      <c r="L1203" s="1509"/>
      <c r="M1203" s="1509"/>
      <c r="N1203" s="1509"/>
      <c r="O1203" s="1509"/>
      <c r="P1203" s="1509"/>
      <c r="Q1203" s="1314"/>
      <c r="R1203" s="1314"/>
      <c r="S1203" s="1314"/>
      <c r="T1203" s="1314"/>
      <c r="U1203" s="1314"/>
      <c r="V1203" s="1314"/>
      <c r="W1203" s="1314"/>
      <c r="X1203" s="1314"/>
      <c r="Y1203" s="1314"/>
      <c r="Z1203" s="1314"/>
    </row>
    <row r="1204" spans="1:26" ht="18.75">
      <c r="A1204" s="1393"/>
      <c r="B1204" s="1393"/>
      <c r="C1204" s="1393"/>
      <c r="D1204" s="1506"/>
      <c r="E1204" s="1393"/>
      <c r="F1204" s="1393"/>
      <c r="G1204" s="1393"/>
      <c r="H1204" s="1507"/>
      <c r="I1204" s="1508"/>
      <c r="J1204" s="1508"/>
      <c r="K1204" s="1509"/>
      <c r="L1204" s="1509"/>
      <c r="M1204" s="1509"/>
      <c r="N1204" s="1509"/>
      <c r="O1204" s="1509"/>
      <c r="P1204" s="1509"/>
      <c r="Q1204" s="1314"/>
      <c r="R1204" s="1314"/>
      <c r="S1204" s="1314"/>
      <c r="T1204" s="1314"/>
      <c r="U1204" s="1314"/>
      <c r="V1204" s="1314"/>
      <c r="W1204" s="1314"/>
      <c r="X1204" s="1314"/>
      <c r="Y1204" s="1314"/>
      <c r="Z1204" s="1314"/>
    </row>
    <row r="1205" spans="1:26" ht="18.75">
      <c r="A1205" s="1393"/>
      <c r="B1205" s="1393"/>
      <c r="C1205" s="1393"/>
      <c r="D1205" s="1506"/>
      <c r="E1205" s="1393"/>
      <c r="F1205" s="1393"/>
      <c r="G1205" s="1393"/>
      <c r="H1205" s="1507"/>
      <c r="I1205" s="1508"/>
      <c r="J1205" s="1508"/>
      <c r="K1205" s="1509"/>
      <c r="L1205" s="1509"/>
      <c r="M1205" s="1509"/>
      <c r="N1205" s="1509"/>
      <c r="O1205" s="1509"/>
      <c r="P1205" s="1509"/>
      <c r="Q1205" s="1314"/>
      <c r="R1205" s="1314"/>
      <c r="S1205" s="1314"/>
      <c r="T1205" s="1314"/>
      <c r="U1205" s="1314"/>
      <c r="V1205" s="1314"/>
      <c r="W1205" s="1314"/>
      <c r="X1205" s="1314"/>
      <c r="Y1205" s="1314"/>
      <c r="Z1205" s="1314"/>
    </row>
    <row r="1206" spans="1:26" ht="18.75">
      <c r="A1206" s="1393"/>
      <c r="B1206" s="1393"/>
      <c r="C1206" s="1393"/>
      <c r="D1206" s="1506"/>
      <c r="E1206" s="1393"/>
      <c r="F1206" s="1393"/>
      <c r="G1206" s="1393"/>
      <c r="H1206" s="1507"/>
      <c r="I1206" s="1508"/>
      <c r="J1206" s="1508"/>
      <c r="K1206" s="1509"/>
      <c r="L1206" s="1509"/>
      <c r="M1206" s="1509"/>
      <c r="N1206" s="1509"/>
      <c r="O1206" s="1509"/>
      <c r="P1206" s="1509"/>
      <c r="Q1206" s="1314"/>
      <c r="R1206" s="1314"/>
      <c r="S1206" s="1314"/>
      <c r="T1206" s="1314"/>
      <c r="U1206" s="1314"/>
      <c r="V1206" s="1314"/>
      <c r="W1206" s="1314"/>
      <c r="X1206" s="1314"/>
      <c r="Y1206" s="1314"/>
      <c r="Z1206" s="1314"/>
    </row>
    <row r="1207" spans="1:26" ht="18.75">
      <c r="A1207" s="1393"/>
      <c r="B1207" s="1393"/>
      <c r="C1207" s="1393"/>
      <c r="D1207" s="1506"/>
      <c r="E1207" s="1393"/>
      <c r="F1207" s="1393"/>
      <c r="G1207" s="1393"/>
      <c r="H1207" s="1507"/>
      <c r="I1207" s="1508"/>
      <c r="J1207" s="1508"/>
      <c r="K1207" s="1509"/>
      <c r="L1207" s="1509"/>
      <c r="M1207" s="1509"/>
      <c r="N1207" s="1509"/>
      <c r="O1207" s="1509"/>
      <c r="P1207" s="1509"/>
      <c r="Q1207" s="1314"/>
      <c r="R1207" s="1314"/>
      <c r="S1207" s="1314"/>
      <c r="T1207" s="1314"/>
      <c r="U1207" s="1314"/>
      <c r="V1207" s="1314"/>
      <c r="W1207" s="1314"/>
      <c r="X1207" s="1314"/>
      <c r="Y1207" s="1314"/>
      <c r="Z1207" s="1314"/>
    </row>
    <row r="1208" spans="1:26" ht="18.75">
      <c r="A1208" s="1393"/>
      <c r="B1208" s="1393"/>
      <c r="C1208" s="1393"/>
      <c r="D1208" s="1506"/>
      <c r="E1208" s="1393"/>
      <c r="F1208" s="1393"/>
      <c r="G1208" s="1393"/>
      <c r="H1208" s="1507"/>
      <c r="I1208" s="1508"/>
      <c r="J1208" s="1508"/>
      <c r="K1208" s="1509"/>
      <c r="L1208" s="1509"/>
      <c r="M1208" s="1509"/>
      <c r="N1208" s="1509"/>
      <c r="O1208" s="1509"/>
      <c r="P1208" s="1509"/>
      <c r="Q1208" s="1314"/>
      <c r="R1208" s="1314"/>
      <c r="S1208" s="1314"/>
      <c r="T1208" s="1314"/>
      <c r="U1208" s="1314"/>
      <c r="V1208" s="1314"/>
      <c r="W1208" s="1314"/>
      <c r="X1208" s="1314"/>
      <c r="Y1208" s="1314"/>
      <c r="Z1208" s="1314"/>
    </row>
    <row r="1209" spans="1:26" ht="18.75">
      <c r="A1209" s="1393"/>
      <c r="B1209" s="1393"/>
      <c r="C1209" s="1393"/>
      <c r="D1209" s="1506"/>
      <c r="E1209" s="1393"/>
      <c r="F1209" s="1393"/>
      <c r="G1209" s="1393"/>
      <c r="H1209" s="1507"/>
      <c r="I1209" s="1508"/>
      <c r="J1209" s="1508"/>
      <c r="K1209" s="1509"/>
      <c r="L1209" s="1509"/>
      <c r="M1209" s="1509"/>
      <c r="N1209" s="1509"/>
      <c r="O1209" s="1509"/>
      <c r="P1209" s="1509"/>
      <c r="Q1209" s="1314"/>
      <c r="R1209" s="1314"/>
      <c r="S1209" s="1314"/>
      <c r="T1209" s="1314"/>
      <c r="U1209" s="1314"/>
      <c r="V1209" s="1314"/>
      <c r="W1209" s="1314"/>
      <c r="X1209" s="1314"/>
      <c r="Y1209" s="1314"/>
      <c r="Z1209" s="1314"/>
    </row>
    <row r="1210" spans="1:26" ht="18.75">
      <c r="A1210" s="1393"/>
      <c r="B1210" s="1393"/>
      <c r="C1210" s="1393"/>
      <c r="D1210" s="1506"/>
      <c r="E1210" s="1393"/>
      <c r="F1210" s="1393"/>
      <c r="G1210" s="1393"/>
      <c r="H1210" s="1507"/>
      <c r="I1210" s="1508"/>
      <c r="J1210" s="1508"/>
      <c r="K1210" s="1509"/>
      <c r="L1210" s="1509"/>
      <c r="M1210" s="1509"/>
      <c r="N1210" s="1509"/>
      <c r="O1210" s="1509"/>
      <c r="P1210" s="1509"/>
      <c r="Q1210" s="1314"/>
      <c r="R1210" s="1314"/>
      <c r="S1210" s="1314"/>
      <c r="T1210" s="1314"/>
      <c r="U1210" s="1314"/>
      <c r="V1210" s="1314"/>
      <c r="W1210" s="1314"/>
      <c r="X1210" s="1314"/>
      <c r="Y1210" s="1314"/>
      <c r="Z1210" s="1314"/>
    </row>
    <row r="1211" spans="1:26" ht="18.75">
      <c r="A1211" s="1393"/>
      <c r="B1211" s="1393"/>
      <c r="C1211" s="1393"/>
      <c r="D1211" s="1506"/>
      <c r="E1211" s="1393"/>
      <c r="F1211" s="1393"/>
      <c r="G1211" s="1393"/>
      <c r="H1211" s="1507"/>
      <c r="I1211" s="1508"/>
      <c r="J1211" s="1508"/>
      <c r="K1211" s="1509"/>
      <c r="L1211" s="1509"/>
      <c r="M1211" s="1509"/>
      <c r="N1211" s="1509"/>
      <c r="O1211" s="1509"/>
      <c r="P1211" s="1509"/>
      <c r="Q1211" s="1314"/>
      <c r="R1211" s="1314"/>
      <c r="S1211" s="1314"/>
      <c r="T1211" s="1314"/>
      <c r="U1211" s="1314"/>
      <c r="V1211" s="1314"/>
      <c r="W1211" s="1314"/>
      <c r="X1211" s="1314"/>
      <c r="Y1211" s="1314"/>
      <c r="Z1211" s="1314"/>
    </row>
    <row r="1212" spans="1:26" ht="18.75">
      <c r="A1212" s="1393"/>
      <c r="B1212" s="1393"/>
      <c r="C1212" s="1393"/>
      <c r="D1212" s="1506"/>
      <c r="E1212" s="1393"/>
      <c r="F1212" s="1393"/>
      <c r="G1212" s="1393"/>
      <c r="H1212" s="1507"/>
      <c r="I1212" s="1508"/>
      <c r="J1212" s="1508"/>
      <c r="K1212" s="1509"/>
      <c r="L1212" s="1509"/>
      <c r="M1212" s="1509"/>
      <c r="N1212" s="1509"/>
      <c r="O1212" s="1509"/>
      <c r="P1212" s="1509"/>
      <c r="Q1212" s="1314"/>
      <c r="R1212" s="1314"/>
      <c r="S1212" s="1314"/>
      <c r="T1212" s="1314"/>
      <c r="U1212" s="1314"/>
      <c r="V1212" s="1314"/>
      <c r="W1212" s="1314"/>
      <c r="X1212" s="1314"/>
      <c r="Y1212" s="1314"/>
      <c r="Z1212" s="1314"/>
    </row>
    <row r="1213" spans="1:26" ht="18.75">
      <c r="A1213" s="1393"/>
      <c r="B1213" s="1393"/>
      <c r="C1213" s="1393"/>
      <c r="D1213" s="1506"/>
      <c r="E1213" s="1393"/>
      <c r="F1213" s="1393"/>
      <c r="G1213" s="1393"/>
      <c r="H1213" s="1507"/>
      <c r="I1213" s="1508"/>
      <c r="J1213" s="1508"/>
      <c r="K1213" s="1509"/>
      <c r="L1213" s="1509"/>
      <c r="M1213" s="1509"/>
      <c r="N1213" s="1509"/>
      <c r="O1213" s="1509"/>
      <c r="P1213" s="1509"/>
      <c r="Q1213" s="1314"/>
      <c r="R1213" s="1314"/>
      <c r="S1213" s="1314"/>
      <c r="T1213" s="1314"/>
      <c r="U1213" s="1314"/>
      <c r="V1213" s="1314"/>
      <c r="W1213" s="1314"/>
      <c r="X1213" s="1314"/>
      <c r="Y1213" s="1314"/>
      <c r="Z1213" s="1314"/>
    </row>
    <row r="1214" spans="1:26" ht="18.75">
      <c r="A1214" s="1393"/>
      <c r="B1214" s="1393"/>
      <c r="C1214" s="1393"/>
      <c r="D1214" s="1506"/>
      <c r="E1214" s="1393"/>
      <c r="F1214" s="1393"/>
      <c r="G1214" s="1393"/>
      <c r="H1214" s="1507"/>
      <c r="I1214" s="1508"/>
      <c r="J1214" s="1508"/>
      <c r="K1214" s="1509"/>
      <c r="L1214" s="1509"/>
      <c r="M1214" s="1509"/>
      <c r="N1214" s="1509"/>
      <c r="O1214" s="1509"/>
      <c r="P1214" s="1509"/>
      <c r="Q1214" s="1314"/>
      <c r="R1214" s="1314"/>
      <c r="S1214" s="1314"/>
      <c r="T1214" s="1314"/>
      <c r="U1214" s="1314"/>
      <c r="V1214" s="1314"/>
      <c r="W1214" s="1314"/>
      <c r="X1214" s="1314"/>
      <c r="Y1214" s="1314"/>
      <c r="Z1214" s="1314"/>
    </row>
    <row r="1215" spans="1:26" ht="18.75">
      <c r="A1215" s="1393"/>
      <c r="B1215" s="1393"/>
      <c r="C1215" s="1393"/>
      <c r="D1215" s="1506"/>
      <c r="E1215" s="1393"/>
      <c r="F1215" s="1393"/>
      <c r="G1215" s="1393"/>
      <c r="H1215" s="1507"/>
      <c r="I1215" s="1508"/>
      <c r="J1215" s="1508"/>
      <c r="K1215" s="1509"/>
      <c r="L1215" s="1509"/>
      <c r="M1215" s="1509"/>
      <c r="N1215" s="1509"/>
      <c r="O1215" s="1509"/>
      <c r="P1215" s="1509"/>
      <c r="Q1215" s="1314"/>
      <c r="R1215" s="1314"/>
      <c r="S1215" s="1314"/>
      <c r="T1215" s="1314"/>
      <c r="U1215" s="1314"/>
      <c r="V1215" s="1314"/>
      <c r="W1215" s="1314"/>
      <c r="X1215" s="1314"/>
      <c r="Y1215" s="1314"/>
      <c r="Z1215" s="1314"/>
    </row>
    <row r="1216" spans="1:26" ht="18.75">
      <c r="A1216" s="1393"/>
      <c r="B1216" s="1393"/>
      <c r="C1216" s="1393"/>
      <c r="D1216" s="1506"/>
      <c r="E1216" s="1393"/>
      <c r="F1216" s="1393"/>
      <c r="G1216" s="1393"/>
      <c r="H1216" s="1507"/>
      <c r="I1216" s="1508"/>
      <c r="J1216" s="1508"/>
      <c r="K1216" s="1509"/>
      <c r="L1216" s="1509"/>
      <c r="M1216" s="1509"/>
      <c r="N1216" s="1509"/>
      <c r="O1216" s="1509"/>
      <c r="P1216" s="1509"/>
      <c r="Q1216" s="1314"/>
      <c r="R1216" s="1314"/>
      <c r="S1216" s="1314"/>
      <c r="T1216" s="1314"/>
      <c r="U1216" s="1314"/>
      <c r="V1216" s="1314"/>
      <c r="W1216" s="1314"/>
      <c r="X1216" s="1314"/>
      <c r="Y1216" s="1314"/>
      <c r="Z1216" s="1314"/>
    </row>
    <row r="1217" spans="1:26" ht="18.75">
      <c r="A1217" s="1393"/>
      <c r="B1217" s="1393"/>
      <c r="C1217" s="1393"/>
      <c r="D1217" s="1506"/>
      <c r="E1217" s="1393"/>
      <c r="F1217" s="1393"/>
      <c r="G1217" s="1393"/>
      <c r="H1217" s="1507"/>
      <c r="I1217" s="1508"/>
      <c r="J1217" s="1508"/>
      <c r="K1217" s="1509"/>
      <c r="L1217" s="1509"/>
      <c r="M1217" s="1509"/>
      <c r="N1217" s="1509"/>
      <c r="O1217" s="1509"/>
      <c r="P1217" s="1509"/>
      <c r="Q1217" s="1314"/>
      <c r="R1217" s="1314"/>
      <c r="S1217" s="1314"/>
      <c r="T1217" s="1314"/>
      <c r="U1217" s="1314"/>
      <c r="V1217" s="1314"/>
      <c r="W1217" s="1314"/>
      <c r="X1217" s="1314"/>
      <c r="Y1217" s="1314"/>
      <c r="Z1217" s="1314"/>
    </row>
    <row r="1218" spans="1:26" ht="18.75">
      <c r="A1218" s="1393"/>
      <c r="B1218" s="1393"/>
      <c r="C1218" s="1393"/>
      <c r="D1218" s="1506"/>
      <c r="E1218" s="1393"/>
      <c r="F1218" s="1393"/>
      <c r="G1218" s="1393"/>
      <c r="H1218" s="1507"/>
      <c r="I1218" s="1508"/>
      <c r="J1218" s="1508"/>
      <c r="K1218" s="1509"/>
      <c r="L1218" s="1509"/>
      <c r="M1218" s="1509"/>
      <c r="N1218" s="1509"/>
      <c r="O1218" s="1509"/>
      <c r="P1218" s="1509"/>
      <c r="Q1218" s="1314"/>
      <c r="R1218" s="1314"/>
      <c r="S1218" s="1314"/>
      <c r="T1218" s="1314"/>
      <c r="U1218" s="1314"/>
      <c r="V1218" s="1314"/>
      <c r="W1218" s="1314"/>
      <c r="X1218" s="1314"/>
      <c r="Y1218" s="1314"/>
      <c r="Z1218" s="1314"/>
    </row>
    <row r="1219" spans="1:26" ht="18.75">
      <c r="A1219" s="1393"/>
      <c r="B1219" s="1393"/>
      <c r="C1219" s="1393"/>
      <c r="D1219" s="1506"/>
      <c r="E1219" s="1393"/>
      <c r="F1219" s="1393"/>
      <c r="G1219" s="1393"/>
      <c r="H1219" s="1507"/>
      <c r="I1219" s="1508"/>
      <c r="J1219" s="1508"/>
      <c r="K1219" s="1509"/>
      <c r="L1219" s="1509"/>
      <c r="M1219" s="1509"/>
      <c r="N1219" s="1509"/>
      <c r="O1219" s="1509"/>
      <c r="P1219" s="1509"/>
      <c r="Q1219" s="1314"/>
      <c r="R1219" s="1314"/>
      <c r="S1219" s="1314"/>
      <c r="T1219" s="1314"/>
      <c r="U1219" s="1314"/>
      <c r="V1219" s="1314"/>
      <c r="W1219" s="1314"/>
      <c r="X1219" s="1314"/>
      <c r="Y1219" s="1314"/>
      <c r="Z1219" s="1314"/>
    </row>
    <row r="1220" spans="1:26" ht="18.75">
      <c r="A1220" s="1393"/>
      <c r="B1220" s="1393"/>
      <c r="C1220" s="1393"/>
      <c r="D1220" s="1506"/>
      <c r="E1220" s="1393"/>
      <c r="F1220" s="1393"/>
      <c r="G1220" s="1393"/>
      <c r="H1220" s="1507"/>
      <c r="I1220" s="1508"/>
      <c r="J1220" s="1508"/>
      <c r="K1220" s="1509"/>
      <c r="L1220" s="1509"/>
      <c r="M1220" s="1509"/>
      <c r="N1220" s="1509"/>
      <c r="O1220" s="1509"/>
      <c r="P1220" s="1509"/>
      <c r="Q1220" s="1314"/>
      <c r="R1220" s="1314"/>
      <c r="S1220" s="1314"/>
      <c r="T1220" s="1314"/>
      <c r="U1220" s="1314"/>
      <c r="V1220" s="1314"/>
      <c r="W1220" s="1314"/>
      <c r="X1220" s="1314"/>
      <c r="Y1220" s="1314"/>
      <c r="Z1220" s="1314"/>
    </row>
    <row r="1221" spans="1:26" ht="18.75">
      <c r="A1221" s="1393"/>
      <c r="B1221" s="1393"/>
      <c r="C1221" s="1393"/>
      <c r="D1221" s="1506"/>
      <c r="E1221" s="1393"/>
      <c r="F1221" s="1393"/>
      <c r="G1221" s="1393"/>
      <c r="H1221" s="1507"/>
      <c r="I1221" s="1508"/>
      <c r="J1221" s="1508"/>
      <c r="K1221" s="1509"/>
      <c r="L1221" s="1509"/>
      <c r="M1221" s="1509"/>
      <c r="N1221" s="1509"/>
      <c r="O1221" s="1509"/>
      <c r="P1221" s="1509"/>
      <c r="Q1221" s="1314"/>
      <c r="R1221" s="1314"/>
      <c r="S1221" s="1314"/>
      <c r="T1221" s="1314"/>
      <c r="U1221" s="1314"/>
      <c r="V1221" s="1314"/>
      <c r="W1221" s="1314"/>
      <c r="X1221" s="1314"/>
      <c r="Y1221" s="1314"/>
      <c r="Z1221" s="1314"/>
    </row>
    <row r="1222" spans="1:26" ht="18.75">
      <c r="A1222" s="1393"/>
      <c r="B1222" s="1393"/>
      <c r="C1222" s="1393"/>
      <c r="D1222" s="1506"/>
      <c r="E1222" s="1393"/>
      <c r="F1222" s="1393"/>
      <c r="G1222" s="1393"/>
      <c r="H1222" s="1507"/>
      <c r="I1222" s="1508"/>
      <c r="J1222" s="1508"/>
      <c r="K1222" s="1509"/>
      <c r="L1222" s="1509"/>
      <c r="M1222" s="1509"/>
      <c r="N1222" s="1509"/>
      <c r="O1222" s="1509"/>
      <c r="P1222" s="1509"/>
      <c r="Q1222" s="1314"/>
      <c r="R1222" s="1314"/>
      <c r="S1222" s="1314"/>
      <c r="T1222" s="1314"/>
      <c r="U1222" s="1314"/>
      <c r="V1222" s="1314"/>
      <c r="W1222" s="1314"/>
      <c r="X1222" s="1314"/>
      <c r="Y1222" s="1314"/>
      <c r="Z1222" s="1314"/>
    </row>
    <row r="1223" spans="1:26" ht="18.75">
      <c r="A1223" s="1393"/>
      <c r="B1223" s="1393"/>
      <c r="C1223" s="1393"/>
      <c r="D1223" s="1506"/>
      <c r="E1223" s="1393"/>
      <c r="F1223" s="1393"/>
      <c r="G1223" s="1393"/>
      <c r="H1223" s="1507"/>
      <c r="I1223" s="1508"/>
      <c r="J1223" s="1508"/>
      <c r="K1223" s="1509"/>
      <c r="L1223" s="1509"/>
      <c r="M1223" s="1509"/>
      <c r="N1223" s="1509"/>
      <c r="O1223" s="1509"/>
      <c r="P1223" s="1509"/>
      <c r="Q1223" s="1314"/>
      <c r="R1223" s="1314"/>
      <c r="S1223" s="1314"/>
      <c r="T1223" s="1314"/>
      <c r="U1223" s="1314"/>
      <c r="V1223" s="1314"/>
      <c r="W1223" s="1314"/>
      <c r="X1223" s="1314"/>
      <c r="Y1223" s="1314"/>
      <c r="Z1223" s="1314"/>
    </row>
    <row r="1224" spans="1:26" ht="18.75">
      <c r="A1224" s="1393"/>
      <c r="B1224" s="1393"/>
      <c r="C1224" s="1393"/>
      <c r="D1224" s="1506"/>
      <c r="E1224" s="1393"/>
      <c r="F1224" s="1393"/>
      <c r="G1224" s="1393"/>
      <c r="H1224" s="1507"/>
      <c r="I1224" s="1508"/>
      <c r="J1224" s="1508"/>
      <c r="K1224" s="1509"/>
      <c r="L1224" s="1509"/>
      <c r="M1224" s="1509"/>
      <c r="N1224" s="1509"/>
      <c r="O1224" s="1509"/>
      <c r="P1224" s="1509"/>
      <c r="Q1224" s="1314"/>
      <c r="R1224" s="1314"/>
      <c r="S1224" s="1314"/>
      <c r="T1224" s="1314"/>
      <c r="U1224" s="1314"/>
      <c r="V1224" s="1314"/>
      <c r="W1224" s="1314"/>
      <c r="X1224" s="1314"/>
      <c r="Y1224" s="1314"/>
      <c r="Z1224" s="1314"/>
    </row>
    <row r="1225" spans="1:26" ht="18.75">
      <c r="A1225" s="1393"/>
      <c r="B1225" s="1393"/>
      <c r="C1225" s="1393"/>
      <c r="D1225" s="1506"/>
      <c r="E1225" s="1393"/>
      <c r="F1225" s="1393"/>
      <c r="G1225" s="1393"/>
      <c r="H1225" s="1507"/>
      <c r="I1225" s="1508"/>
      <c r="J1225" s="1508"/>
      <c r="K1225" s="1509"/>
      <c r="L1225" s="1509"/>
      <c r="M1225" s="1509"/>
      <c r="N1225" s="1509"/>
      <c r="O1225" s="1509"/>
      <c r="P1225" s="1509"/>
      <c r="Q1225" s="1314"/>
      <c r="R1225" s="1314"/>
      <c r="S1225" s="1314"/>
      <c r="T1225" s="1314"/>
      <c r="U1225" s="1314"/>
      <c r="V1225" s="1314"/>
      <c r="W1225" s="1314"/>
      <c r="X1225" s="1314"/>
      <c r="Y1225" s="1314"/>
      <c r="Z1225" s="1314"/>
    </row>
    <row r="1226" spans="1:26" ht="18.75">
      <c r="A1226" s="1393"/>
      <c r="B1226" s="1393"/>
      <c r="C1226" s="1393"/>
      <c r="D1226" s="1506"/>
      <c r="E1226" s="1393"/>
      <c r="F1226" s="1393"/>
      <c r="G1226" s="1393"/>
      <c r="H1226" s="1507"/>
      <c r="I1226" s="1508"/>
      <c r="J1226" s="1508"/>
      <c r="K1226" s="1509"/>
      <c r="L1226" s="1509"/>
      <c r="M1226" s="1509"/>
      <c r="N1226" s="1509"/>
      <c r="O1226" s="1509"/>
      <c r="P1226" s="1509"/>
      <c r="Q1226" s="1314"/>
      <c r="R1226" s="1314"/>
      <c r="S1226" s="1314"/>
      <c r="T1226" s="1314"/>
      <c r="U1226" s="1314"/>
      <c r="V1226" s="1314"/>
      <c r="W1226" s="1314"/>
      <c r="X1226" s="1314"/>
      <c r="Y1226" s="1314"/>
      <c r="Z1226" s="1314"/>
    </row>
    <row r="1227" spans="1:26" ht="18.75">
      <c r="A1227" s="1393"/>
      <c r="B1227" s="1393"/>
      <c r="C1227" s="1393"/>
      <c r="D1227" s="1506"/>
      <c r="E1227" s="1393"/>
      <c r="F1227" s="1393"/>
      <c r="G1227" s="1393"/>
      <c r="H1227" s="1507"/>
      <c r="I1227" s="1508"/>
      <c r="J1227" s="1508"/>
      <c r="K1227" s="1509"/>
      <c r="L1227" s="1509"/>
      <c r="M1227" s="1509"/>
      <c r="N1227" s="1509"/>
      <c r="O1227" s="1509"/>
      <c r="P1227" s="1509"/>
      <c r="Q1227" s="1314"/>
      <c r="R1227" s="1314"/>
      <c r="S1227" s="1314"/>
      <c r="T1227" s="1314"/>
      <c r="U1227" s="1314"/>
      <c r="V1227" s="1314"/>
      <c r="W1227" s="1314"/>
      <c r="X1227" s="1314"/>
      <c r="Y1227" s="1314"/>
      <c r="Z1227" s="1314"/>
    </row>
    <row r="1228" spans="1:26" ht="18.75">
      <c r="A1228" s="1393"/>
      <c r="B1228" s="1393"/>
      <c r="C1228" s="1393"/>
      <c r="D1228" s="1506"/>
      <c r="E1228" s="1393"/>
      <c r="F1228" s="1393"/>
      <c r="G1228" s="1393"/>
      <c r="H1228" s="1507"/>
      <c r="I1228" s="1508"/>
      <c r="J1228" s="1508"/>
      <c r="K1228" s="1509"/>
      <c r="L1228" s="1509"/>
      <c r="M1228" s="1509"/>
      <c r="N1228" s="1509"/>
      <c r="O1228" s="1509"/>
      <c r="P1228" s="1509"/>
      <c r="Q1228" s="1314"/>
      <c r="R1228" s="1314"/>
      <c r="S1228" s="1314"/>
      <c r="T1228" s="1314"/>
      <c r="U1228" s="1314"/>
      <c r="V1228" s="1314"/>
      <c r="W1228" s="1314"/>
      <c r="X1228" s="1314"/>
      <c r="Y1228" s="1314"/>
      <c r="Z1228" s="1314"/>
    </row>
    <row r="1229" spans="1:26" ht="18.75">
      <c r="A1229" s="1393"/>
      <c r="B1229" s="1393"/>
      <c r="C1229" s="1393"/>
      <c r="D1229" s="1506"/>
      <c r="E1229" s="1393"/>
      <c r="F1229" s="1393"/>
      <c r="G1229" s="1393"/>
      <c r="H1229" s="1507"/>
      <c r="I1229" s="1508"/>
      <c r="J1229" s="1508"/>
      <c r="K1229" s="1509"/>
      <c r="L1229" s="1509"/>
      <c r="M1229" s="1509"/>
      <c r="N1229" s="1509"/>
      <c r="O1229" s="1509"/>
      <c r="P1229" s="1509"/>
      <c r="Q1229" s="1314"/>
      <c r="R1229" s="1314"/>
      <c r="S1229" s="1314"/>
      <c r="T1229" s="1314"/>
      <c r="U1229" s="1314"/>
      <c r="V1229" s="1314"/>
      <c r="W1229" s="1314"/>
      <c r="X1229" s="1314"/>
      <c r="Y1229" s="1314"/>
      <c r="Z1229" s="1314"/>
    </row>
    <row r="1230" spans="1:26" ht="18.75">
      <c r="A1230" s="1393"/>
      <c r="B1230" s="1393"/>
      <c r="C1230" s="1393"/>
      <c r="D1230" s="1506"/>
      <c r="E1230" s="1393"/>
      <c r="F1230" s="1393"/>
      <c r="G1230" s="1393"/>
      <c r="H1230" s="1507"/>
      <c r="I1230" s="1508"/>
      <c r="J1230" s="1508"/>
      <c r="K1230" s="1509"/>
      <c r="L1230" s="1509"/>
      <c r="M1230" s="1509"/>
      <c r="N1230" s="1509"/>
      <c r="O1230" s="1509"/>
      <c r="P1230" s="1509"/>
      <c r="Q1230" s="1314"/>
      <c r="R1230" s="1314"/>
      <c r="S1230" s="1314"/>
      <c r="T1230" s="1314"/>
      <c r="U1230" s="1314"/>
      <c r="V1230" s="1314"/>
      <c r="W1230" s="1314"/>
      <c r="X1230" s="1314"/>
      <c r="Y1230" s="1314"/>
      <c r="Z1230" s="1314"/>
    </row>
    <row r="1231" spans="1:26" ht="18.75">
      <c r="A1231" s="1393"/>
      <c r="B1231" s="1393"/>
      <c r="C1231" s="1393"/>
      <c r="D1231" s="1506"/>
      <c r="E1231" s="1393"/>
      <c r="F1231" s="1393"/>
      <c r="G1231" s="1393"/>
      <c r="H1231" s="1507"/>
      <c r="I1231" s="1508"/>
      <c r="J1231" s="1508"/>
      <c r="K1231" s="1509"/>
      <c r="L1231" s="1509"/>
      <c r="M1231" s="1509"/>
      <c r="N1231" s="1509"/>
      <c r="O1231" s="1509"/>
      <c r="P1231" s="1509"/>
      <c r="Q1231" s="1314"/>
      <c r="R1231" s="1314"/>
      <c r="S1231" s="1314"/>
      <c r="T1231" s="1314"/>
      <c r="U1231" s="1314"/>
      <c r="V1231" s="1314"/>
      <c r="W1231" s="1314"/>
      <c r="X1231" s="1314"/>
      <c r="Y1231" s="1314"/>
      <c r="Z1231" s="1314"/>
    </row>
    <row r="1232" spans="1:26" ht="18.75">
      <c r="A1232" s="1393"/>
      <c r="B1232" s="1393"/>
      <c r="C1232" s="1393"/>
      <c r="D1232" s="1506"/>
      <c r="E1232" s="1393"/>
      <c r="F1232" s="1393"/>
      <c r="G1232" s="1393"/>
      <c r="H1232" s="1507"/>
      <c r="I1232" s="1508"/>
      <c r="J1232" s="1508"/>
      <c r="K1232" s="1509"/>
      <c r="L1232" s="1509"/>
      <c r="M1232" s="1509"/>
      <c r="N1232" s="1509"/>
      <c r="O1232" s="1509"/>
      <c r="P1232" s="1509"/>
      <c r="Q1232" s="1314"/>
      <c r="R1232" s="1314"/>
      <c r="S1232" s="1314"/>
      <c r="T1232" s="1314"/>
      <c r="U1232" s="1314"/>
      <c r="V1232" s="1314"/>
      <c r="W1232" s="1314"/>
      <c r="X1232" s="1314"/>
      <c r="Y1232" s="1314"/>
      <c r="Z1232" s="1314"/>
    </row>
    <row r="1233" spans="1:26" ht="18.75">
      <c r="A1233" s="1393"/>
      <c r="B1233" s="1393"/>
      <c r="C1233" s="1393"/>
      <c r="D1233" s="1506"/>
      <c r="E1233" s="1393"/>
      <c r="F1233" s="1393"/>
      <c r="G1233" s="1393"/>
      <c r="H1233" s="1507"/>
      <c r="I1233" s="1508"/>
      <c r="J1233" s="1508"/>
      <c r="K1233" s="1509"/>
      <c r="L1233" s="1509"/>
      <c r="M1233" s="1509"/>
      <c r="N1233" s="1509"/>
      <c r="O1233" s="1509"/>
      <c r="P1233" s="1509"/>
      <c r="Q1233" s="1314"/>
      <c r="R1233" s="1314"/>
      <c r="S1233" s="1314"/>
      <c r="T1233" s="1314"/>
      <c r="U1233" s="1314"/>
      <c r="V1233" s="1314"/>
      <c r="W1233" s="1314"/>
      <c r="X1233" s="1314"/>
      <c r="Y1233" s="1314"/>
      <c r="Z1233" s="1314"/>
    </row>
    <row r="1234" spans="1:26" ht="18.75">
      <c r="A1234" s="1393"/>
      <c r="B1234" s="1393"/>
      <c r="C1234" s="1393"/>
      <c r="D1234" s="1506"/>
      <c r="E1234" s="1393"/>
      <c r="F1234" s="1393"/>
      <c r="G1234" s="1393"/>
      <c r="H1234" s="1507"/>
      <c r="I1234" s="1508"/>
      <c r="J1234" s="1508"/>
      <c r="K1234" s="1509"/>
      <c r="L1234" s="1509"/>
      <c r="M1234" s="1509"/>
      <c r="N1234" s="1509"/>
      <c r="O1234" s="1509"/>
      <c r="P1234" s="1509"/>
      <c r="Q1234" s="1314"/>
      <c r="R1234" s="1314"/>
      <c r="S1234" s="1314"/>
      <c r="T1234" s="1314"/>
      <c r="U1234" s="1314"/>
      <c r="V1234" s="1314"/>
      <c r="W1234" s="1314"/>
      <c r="X1234" s="1314"/>
      <c r="Y1234" s="1314"/>
      <c r="Z1234" s="1314"/>
    </row>
    <row r="1235" spans="1:26" ht="18.75">
      <c r="A1235" s="1393"/>
      <c r="B1235" s="1393"/>
      <c r="C1235" s="1393"/>
      <c r="D1235" s="1506"/>
      <c r="E1235" s="1393"/>
      <c r="F1235" s="1393"/>
      <c r="G1235" s="1393"/>
      <c r="H1235" s="1507"/>
      <c r="I1235" s="1508"/>
      <c r="J1235" s="1508"/>
      <c r="K1235" s="1509"/>
      <c r="L1235" s="1509"/>
      <c r="M1235" s="1509"/>
      <c r="N1235" s="1509"/>
      <c r="O1235" s="1509"/>
      <c r="P1235" s="1509"/>
      <c r="Q1235" s="1314"/>
      <c r="R1235" s="1314"/>
      <c r="S1235" s="1314"/>
      <c r="T1235" s="1314"/>
      <c r="U1235" s="1314"/>
      <c r="V1235" s="1314"/>
      <c r="W1235" s="1314"/>
      <c r="X1235" s="1314"/>
      <c r="Y1235" s="1314"/>
      <c r="Z1235" s="1314"/>
    </row>
    <row r="1236" spans="1:26" ht="18.75">
      <c r="A1236" s="1393"/>
      <c r="B1236" s="1393"/>
      <c r="C1236" s="1393"/>
      <c r="D1236" s="1506"/>
      <c r="E1236" s="1393"/>
      <c r="F1236" s="1393"/>
      <c r="G1236" s="1393"/>
      <c r="H1236" s="1507"/>
      <c r="I1236" s="1508"/>
      <c r="J1236" s="1508"/>
      <c r="K1236" s="1509"/>
      <c r="L1236" s="1509"/>
      <c r="M1236" s="1509"/>
      <c r="N1236" s="1509"/>
      <c r="O1236" s="1509"/>
      <c r="P1236" s="1509"/>
      <c r="Q1236" s="1314"/>
      <c r="R1236" s="1314"/>
      <c r="S1236" s="1314"/>
      <c r="T1236" s="1314"/>
      <c r="U1236" s="1314"/>
      <c r="V1236" s="1314"/>
      <c r="W1236" s="1314"/>
      <c r="X1236" s="1314"/>
      <c r="Y1236" s="1314"/>
      <c r="Z1236" s="1314"/>
    </row>
    <row r="1237" spans="1:26" ht="18.75">
      <c r="A1237" s="1393"/>
      <c r="B1237" s="1393"/>
      <c r="C1237" s="1393"/>
      <c r="D1237" s="1506"/>
      <c r="E1237" s="1393"/>
      <c r="F1237" s="1393"/>
      <c r="G1237" s="1393"/>
      <c r="H1237" s="1507"/>
      <c r="I1237" s="1508"/>
      <c r="J1237" s="1508"/>
      <c r="K1237" s="1509"/>
      <c r="L1237" s="1509"/>
      <c r="M1237" s="1509"/>
      <c r="N1237" s="1509"/>
      <c r="O1237" s="1509"/>
      <c r="P1237" s="1509"/>
      <c r="Q1237" s="1314"/>
      <c r="R1237" s="1314"/>
      <c r="S1237" s="1314"/>
      <c r="T1237" s="1314"/>
      <c r="U1237" s="1314"/>
      <c r="V1237" s="1314"/>
      <c r="W1237" s="1314"/>
      <c r="X1237" s="1314"/>
      <c r="Y1237" s="1314"/>
      <c r="Z1237" s="1314"/>
    </row>
    <row r="1238" spans="1:26" ht="18.75">
      <c r="A1238" s="1393"/>
      <c r="B1238" s="1393"/>
      <c r="C1238" s="1393"/>
      <c r="D1238" s="1506"/>
      <c r="E1238" s="1393"/>
      <c r="F1238" s="1393"/>
      <c r="G1238" s="1393"/>
      <c r="H1238" s="1507"/>
      <c r="I1238" s="1508"/>
      <c r="J1238" s="1508"/>
      <c r="K1238" s="1509"/>
      <c r="L1238" s="1509"/>
      <c r="M1238" s="1509"/>
      <c r="N1238" s="1509"/>
      <c r="O1238" s="1509"/>
      <c r="P1238" s="1509"/>
      <c r="Q1238" s="1314"/>
      <c r="R1238" s="1314"/>
      <c r="S1238" s="1314"/>
      <c r="T1238" s="1314"/>
      <c r="U1238" s="1314"/>
      <c r="V1238" s="1314"/>
      <c r="W1238" s="1314"/>
      <c r="X1238" s="1314"/>
      <c r="Y1238" s="1314"/>
      <c r="Z1238" s="1314"/>
    </row>
    <row r="1239" spans="1:26" ht="18.75">
      <c r="A1239" s="1393"/>
      <c r="B1239" s="1393"/>
      <c r="C1239" s="1393"/>
      <c r="D1239" s="1506"/>
      <c r="E1239" s="1393"/>
      <c r="F1239" s="1393"/>
      <c r="G1239" s="1393"/>
      <c r="H1239" s="1507"/>
      <c r="I1239" s="1508"/>
      <c r="J1239" s="1508"/>
      <c r="K1239" s="1509"/>
      <c r="L1239" s="1509"/>
      <c r="M1239" s="1509"/>
      <c r="N1239" s="1509"/>
      <c r="O1239" s="1509"/>
      <c r="P1239" s="1509"/>
      <c r="Q1239" s="1314"/>
      <c r="R1239" s="1314"/>
      <c r="S1239" s="1314"/>
      <c r="T1239" s="1314"/>
      <c r="U1239" s="1314"/>
      <c r="V1239" s="1314"/>
      <c r="W1239" s="1314"/>
      <c r="X1239" s="1314"/>
      <c r="Y1239" s="1314"/>
      <c r="Z1239" s="1314"/>
    </row>
    <row r="1240" spans="1:26" ht="18.75">
      <c r="A1240" s="1393"/>
      <c r="B1240" s="1393"/>
      <c r="C1240" s="1393"/>
      <c r="D1240" s="1506"/>
      <c r="E1240" s="1393"/>
      <c r="F1240" s="1393"/>
      <c r="G1240" s="1393"/>
      <c r="H1240" s="1507"/>
      <c r="I1240" s="1508"/>
      <c r="J1240" s="1508"/>
      <c r="K1240" s="1509"/>
      <c r="L1240" s="1509"/>
      <c r="M1240" s="1509"/>
      <c r="N1240" s="1509"/>
      <c r="O1240" s="1509"/>
      <c r="P1240" s="1509"/>
      <c r="Q1240" s="1314"/>
      <c r="R1240" s="1314"/>
      <c r="S1240" s="1314"/>
      <c r="T1240" s="1314"/>
      <c r="U1240" s="1314"/>
      <c r="V1240" s="1314"/>
      <c r="W1240" s="1314"/>
      <c r="X1240" s="1314"/>
      <c r="Y1240" s="1314"/>
      <c r="Z1240" s="1314"/>
    </row>
    <row r="1241" spans="1:26" ht="18.75">
      <c r="A1241" s="1393"/>
      <c r="B1241" s="1393"/>
      <c r="C1241" s="1393"/>
      <c r="D1241" s="1506"/>
      <c r="E1241" s="1393"/>
      <c r="F1241" s="1393"/>
      <c r="G1241" s="1393"/>
      <c r="H1241" s="1507"/>
      <c r="I1241" s="1508"/>
      <c r="J1241" s="1508"/>
      <c r="K1241" s="1509"/>
      <c r="L1241" s="1509"/>
      <c r="M1241" s="1509"/>
      <c r="N1241" s="1509"/>
      <c r="O1241" s="1509"/>
      <c r="P1241" s="1509"/>
      <c r="Q1241" s="1314"/>
      <c r="R1241" s="1314"/>
      <c r="S1241" s="1314"/>
      <c r="T1241" s="1314"/>
      <c r="U1241" s="1314"/>
      <c r="V1241" s="1314"/>
      <c r="W1241" s="1314"/>
      <c r="X1241" s="1314"/>
      <c r="Y1241" s="1314"/>
      <c r="Z1241" s="1314"/>
    </row>
    <row r="1242" spans="1:26" ht="18.75">
      <c r="A1242" s="1393"/>
      <c r="B1242" s="1393"/>
      <c r="C1242" s="1393"/>
      <c r="D1242" s="1506"/>
      <c r="E1242" s="1393"/>
      <c r="F1242" s="1393"/>
      <c r="G1242" s="1393"/>
      <c r="H1242" s="1507"/>
      <c r="I1242" s="1508"/>
      <c r="J1242" s="1508"/>
      <c r="K1242" s="1509"/>
      <c r="L1242" s="1509"/>
      <c r="M1242" s="1509"/>
      <c r="N1242" s="1509"/>
      <c r="O1242" s="1509"/>
      <c r="P1242" s="1509"/>
      <c r="Q1242" s="1314"/>
      <c r="R1242" s="1314"/>
      <c r="S1242" s="1314"/>
      <c r="T1242" s="1314"/>
      <c r="U1242" s="1314"/>
      <c r="V1242" s="1314"/>
      <c r="W1242" s="1314"/>
      <c r="X1242" s="1314"/>
      <c r="Y1242" s="1314"/>
      <c r="Z1242" s="1314"/>
    </row>
    <row r="1243" spans="1:26" ht="18.75">
      <c r="A1243" s="1393"/>
      <c r="B1243" s="1393"/>
      <c r="C1243" s="1393"/>
      <c r="D1243" s="1506"/>
      <c r="E1243" s="1393"/>
      <c r="F1243" s="1393"/>
      <c r="G1243" s="1393"/>
      <c r="H1243" s="1507"/>
      <c r="I1243" s="1508"/>
      <c r="J1243" s="1508"/>
      <c r="K1243" s="1509"/>
      <c r="L1243" s="1509"/>
      <c r="M1243" s="1509"/>
      <c r="N1243" s="1509"/>
      <c r="O1243" s="1509"/>
      <c r="P1243" s="1509"/>
      <c r="Q1243" s="1314"/>
      <c r="R1243" s="1314"/>
      <c r="S1243" s="1314"/>
      <c r="T1243" s="1314"/>
      <c r="U1243" s="1314"/>
      <c r="V1243" s="1314"/>
      <c r="W1243" s="1314"/>
      <c r="X1243" s="1314"/>
      <c r="Y1243" s="1314"/>
      <c r="Z1243" s="1314"/>
    </row>
    <row r="1244" spans="1:26" ht="18.75">
      <c r="A1244" s="1393"/>
      <c r="B1244" s="1393"/>
      <c r="C1244" s="1393"/>
      <c r="D1244" s="1506"/>
      <c r="E1244" s="1393"/>
      <c r="F1244" s="1393"/>
      <c r="G1244" s="1393"/>
      <c r="H1244" s="1507"/>
      <c r="I1244" s="1508"/>
      <c r="J1244" s="1508"/>
      <c r="K1244" s="1509"/>
      <c r="L1244" s="1509"/>
      <c r="M1244" s="1509"/>
      <c r="N1244" s="1509"/>
      <c r="O1244" s="1509"/>
      <c r="P1244" s="1509"/>
      <c r="Q1244" s="1314"/>
      <c r="R1244" s="1314"/>
      <c r="S1244" s="1314"/>
      <c r="T1244" s="1314"/>
      <c r="U1244" s="1314"/>
      <c r="V1244" s="1314"/>
      <c r="W1244" s="1314"/>
      <c r="X1244" s="1314"/>
      <c r="Y1244" s="1314"/>
      <c r="Z1244" s="1314"/>
    </row>
    <row r="1245" spans="1:26" ht="18.75">
      <c r="A1245" s="1393"/>
      <c r="B1245" s="1393"/>
      <c r="C1245" s="1393"/>
      <c r="D1245" s="1506"/>
      <c r="E1245" s="1393"/>
      <c r="F1245" s="1393"/>
      <c r="G1245" s="1393"/>
      <c r="H1245" s="1507"/>
      <c r="I1245" s="1508"/>
      <c r="J1245" s="1508"/>
      <c r="K1245" s="1509"/>
      <c r="L1245" s="1509"/>
      <c r="M1245" s="1509"/>
      <c r="N1245" s="1509"/>
      <c r="O1245" s="1509"/>
      <c r="P1245" s="1509"/>
      <c r="Q1245" s="1314"/>
      <c r="R1245" s="1314"/>
      <c r="S1245" s="1314"/>
      <c r="T1245" s="1314"/>
      <c r="U1245" s="1314"/>
      <c r="V1245" s="1314"/>
      <c r="W1245" s="1314"/>
      <c r="X1245" s="1314"/>
      <c r="Y1245" s="1314"/>
      <c r="Z1245" s="1314"/>
    </row>
    <row r="1246" spans="1:26" ht="18.75">
      <c r="A1246" s="1393"/>
      <c r="B1246" s="1393"/>
      <c r="C1246" s="1393"/>
      <c r="D1246" s="1506"/>
      <c r="E1246" s="1393"/>
      <c r="F1246" s="1393"/>
      <c r="G1246" s="1393"/>
      <c r="H1246" s="1507"/>
      <c r="I1246" s="1508"/>
      <c r="J1246" s="1508"/>
      <c r="K1246" s="1509"/>
      <c r="L1246" s="1509"/>
      <c r="M1246" s="1509"/>
      <c r="N1246" s="1509"/>
      <c r="O1246" s="1509"/>
      <c r="P1246" s="1509"/>
      <c r="Q1246" s="1314"/>
      <c r="R1246" s="1314"/>
      <c r="S1246" s="1314"/>
      <c r="T1246" s="1314"/>
      <c r="U1246" s="1314"/>
      <c r="V1246" s="1314"/>
      <c r="W1246" s="1314"/>
      <c r="X1246" s="1314"/>
      <c r="Y1246" s="1314"/>
      <c r="Z1246" s="1314"/>
    </row>
    <row r="1247" spans="1:26" ht="18.75">
      <c r="A1247" s="1393"/>
      <c r="B1247" s="1393"/>
      <c r="C1247" s="1393"/>
      <c r="D1247" s="1506"/>
      <c r="E1247" s="1393"/>
      <c r="F1247" s="1393"/>
      <c r="G1247" s="1393"/>
      <c r="H1247" s="1507"/>
      <c r="I1247" s="1508"/>
      <c r="J1247" s="1508"/>
      <c r="K1247" s="1509"/>
      <c r="L1247" s="1509"/>
      <c r="M1247" s="1509"/>
      <c r="N1247" s="1509"/>
      <c r="O1247" s="1509"/>
      <c r="P1247" s="1509"/>
      <c r="Q1247" s="1314"/>
      <c r="R1247" s="1314"/>
      <c r="S1247" s="1314"/>
      <c r="T1247" s="1314"/>
      <c r="U1247" s="1314"/>
      <c r="V1247" s="1314"/>
      <c r="W1247" s="1314"/>
      <c r="X1247" s="1314"/>
      <c r="Y1247" s="1314"/>
      <c r="Z1247" s="1314"/>
    </row>
    <row r="1248" spans="1:26" ht="18.75">
      <c r="A1248" s="1393"/>
      <c r="B1248" s="1393"/>
      <c r="C1248" s="1393"/>
      <c r="D1248" s="1506"/>
      <c r="E1248" s="1393"/>
      <c r="F1248" s="1393"/>
      <c r="G1248" s="1393"/>
      <c r="H1248" s="1507"/>
      <c r="I1248" s="1508"/>
      <c r="J1248" s="1508"/>
      <c r="K1248" s="1509"/>
      <c r="L1248" s="1509"/>
      <c r="M1248" s="1509"/>
      <c r="N1248" s="1509"/>
      <c r="O1248" s="1509"/>
      <c r="P1248" s="1509"/>
      <c r="Q1248" s="1314"/>
      <c r="R1248" s="1314"/>
      <c r="S1248" s="1314"/>
      <c r="T1248" s="1314"/>
      <c r="U1248" s="1314"/>
      <c r="V1248" s="1314"/>
      <c r="W1248" s="1314"/>
      <c r="X1248" s="1314"/>
      <c r="Y1248" s="1314"/>
      <c r="Z1248" s="1314"/>
    </row>
    <row r="1249" spans="1:26" ht="18.75">
      <c r="A1249" s="1393"/>
      <c r="B1249" s="1393"/>
      <c r="C1249" s="1393"/>
      <c r="D1249" s="1506"/>
      <c r="E1249" s="1393"/>
      <c r="F1249" s="1393"/>
      <c r="G1249" s="1393"/>
      <c r="H1249" s="1507"/>
      <c r="I1249" s="1508"/>
      <c r="J1249" s="1508"/>
      <c r="K1249" s="1509"/>
      <c r="L1249" s="1509"/>
      <c r="M1249" s="1509"/>
      <c r="N1249" s="1509"/>
      <c r="O1249" s="1509"/>
      <c r="P1249" s="1509"/>
      <c r="Q1249" s="1314"/>
      <c r="R1249" s="1314"/>
      <c r="S1249" s="1314"/>
      <c r="T1249" s="1314"/>
      <c r="U1249" s="1314"/>
      <c r="V1249" s="1314"/>
      <c r="W1249" s="1314"/>
      <c r="X1249" s="1314"/>
      <c r="Y1249" s="1314"/>
      <c r="Z1249" s="1314"/>
    </row>
    <row r="1250" spans="1:26" ht="18.75">
      <c r="A1250" s="1393"/>
      <c r="B1250" s="1393"/>
      <c r="C1250" s="1393"/>
      <c r="D1250" s="1506"/>
      <c r="E1250" s="1393"/>
      <c r="F1250" s="1393"/>
      <c r="G1250" s="1393"/>
      <c r="H1250" s="1507"/>
      <c r="I1250" s="1508"/>
      <c r="J1250" s="1508"/>
      <c r="K1250" s="1509"/>
      <c r="L1250" s="1509"/>
      <c r="M1250" s="1509"/>
      <c r="N1250" s="1509"/>
      <c r="O1250" s="1509"/>
      <c r="P1250" s="1509"/>
      <c r="Q1250" s="1314"/>
      <c r="R1250" s="1314"/>
      <c r="S1250" s="1314"/>
      <c r="T1250" s="1314"/>
      <c r="U1250" s="1314"/>
      <c r="V1250" s="1314"/>
      <c r="W1250" s="1314"/>
      <c r="X1250" s="1314"/>
      <c r="Y1250" s="1314"/>
      <c r="Z1250" s="1314"/>
    </row>
    <row r="1251" spans="1:26" ht="18.75">
      <c r="A1251" s="1393"/>
      <c r="B1251" s="1393"/>
      <c r="C1251" s="1393"/>
      <c r="D1251" s="1506"/>
      <c r="E1251" s="1393"/>
      <c r="F1251" s="1393"/>
      <c r="G1251" s="1393"/>
      <c r="H1251" s="1507"/>
      <c r="I1251" s="1508"/>
      <c r="J1251" s="1508"/>
      <c r="K1251" s="1509"/>
      <c r="L1251" s="1509"/>
      <c r="M1251" s="1509"/>
      <c r="N1251" s="1509"/>
      <c r="O1251" s="1509"/>
      <c r="P1251" s="1509"/>
      <c r="Q1251" s="1314"/>
      <c r="R1251" s="1314"/>
      <c r="S1251" s="1314"/>
      <c r="T1251" s="1314"/>
      <c r="U1251" s="1314"/>
      <c r="V1251" s="1314"/>
      <c r="W1251" s="1314"/>
      <c r="X1251" s="1314"/>
      <c r="Y1251" s="1314"/>
      <c r="Z1251" s="1314"/>
    </row>
    <row r="1252" spans="1:26" ht="18.75">
      <c r="A1252" s="1393"/>
      <c r="B1252" s="1393"/>
      <c r="C1252" s="1393"/>
      <c r="D1252" s="1506"/>
      <c r="E1252" s="1393"/>
      <c r="F1252" s="1393"/>
      <c r="G1252" s="1393"/>
      <c r="H1252" s="1507"/>
      <c r="I1252" s="1508"/>
      <c r="J1252" s="1508"/>
      <c r="K1252" s="1509"/>
      <c r="L1252" s="1509"/>
      <c r="M1252" s="1509"/>
      <c r="N1252" s="1509"/>
      <c r="O1252" s="1509"/>
      <c r="P1252" s="1509"/>
      <c r="Q1252" s="1314"/>
      <c r="R1252" s="1314"/>
      <c r="S1252" s="1314"/>
      <c r="T1252" s="1314"/>
      <c r="U1252" s="1314"/>
      <c r="V1252" s="1314"/>
      <c r="W1252" s="1314"/>
      <c r="X1252" s="1314"/>
      <c r="Y1252" s="1314"/>
      <c r="Z1252" s="1314"/>
    </row>
    <row r="1253" spans="1:26" ht="18.75">
      <c r="A1253" s="1393"/>
      <c r="B1253" s="1393"/>
      <c r="C1253" s="1393"/>
      <c r="D1253" s="1506"/>
      <c r="E1253" s="1393"/>
      <c r="F1253" s="1393"/>
      <c r="G1253" s="1393"/>
      <c r="H1253" s="1507"/>
      <c r="I1253" s="1508"/>
      <c r="J1253" s="1508"/>
      <c r="K1253" s="1509"/>
      <c r="L1253" s="1509"/>
      <c r="M1253" s="1509"/>
      <c r="N1253" s="1509"/>
      <c r="O1253" s="1509"/>
      <c r="P1253" s="1509"/>
      <c r="Q1253" s="1314"/>
      <c r="R1253" s="1314"/>
      <c r="S1253" s="1314"/>
      <c r="T1253" s="1314"/>
      <c r="U1253" s="1314"/>
      <c r="V1253" s="1314"/>
      <c r="W1253" s="1314"/>
      <c r="X1253" s="1314"/>
      <c r="Y1253" s="1314"/>
      <c r="Z1253" s="1314"/>
    </row>
    <row r="1254" spans="1:26" ht="18.75">
      <c r="A1254" s="1393"/>
      <c r="B1254" s="1393"/>
      <c r="C1254" s="1393"/>
      <c r="D1254" s="1506"/>
      <c r="E1254" s="1393"/>
      <c r="F1254" s="1393"/>
      <c r="G1254" s="1393"/>
      <c r="H1254" s="1507"/>
      <c r="I1254" s="1508"/>
      <c r="J1254" s="1508"/>
      <c r="K1254" s="1509"/>
      <c r="L1254" s="1509"/>
      <c r="M1254" s="1509"/>
      <c r="N1254" s="1509"/>
      <c r="O1254" s="1509"/>
      <c r="P1254" s="1509"/>
      <c r="Q1254" s="1314"/>
      <c r="R1254" s="1314"/>
      <c r="S1254" s="1314"/>
      <c r="T1254" s="1314"/>
      <c r="U1254" s="1314"/>
      <c r="V1254" s="1314"/>
      <c r="W1254" s="1314"/>
      <c r="X1254" s="1314"/>
      <c r="Y1254" s="1314"/>
      <c r="Z1254" s="1314"/>
    </row>
    <row r="1255" spans="1:26" ht="18.75">
      <c r="A1255" s="1393"/>
      <c r="B1255" s="1393"/>
      <c r="C1255" s="1393"/>
      <c r="D1255" s="1506"/>
      <c r="E1255" s="1393"/>
      <c r="F1255" s="1393"/>
      <c r="G1255" s="1393"/>
      <c r="H1255" s="1507"/>
      <c r="I1255" s="1508"/>
      <c r="J1255" s="1508"/>
      <c r="K1255" s="1509"/>
      <c r="L1255" s="1509"/>
      <c r="M1255" s="1509"/>
      <c r="N1255" s="1509"/>
      <c r="O1255" s="1509"/>
      <c r="P1255" s="1509"/>
      <c r="Q1255" s="1314"/>
      <c r="R1255" s="1314"/>
      <c r="S1255" s="1314"/>
      <c r="T1255" s="1314"/>
      <c r="U1255" s="1314"/>
      <c r="V1255" s="1314"/>
      <c r="W1255" s="1314"/>
      <c r="X1255" s="1314"/>
      <c r="Y1255" s="1314"/>
      <c r="Z1255" s="1314"/>
    </row>
    <row r="1256" spans="1:26" ht="18.75">
      <c r="A1256" s="1393"/>
      <c r="B1256" s="1393"/>
      <c r="C1256" s="1393"/>
      <c r="D1256" s="1506"/>
      <c r="E1256" s="1393"/>
      <c r="F1256" s="1393"/>
      <c r="G1256" s="1393"/>
      <c r="H1256" s="1507"/>
      <c r="I1256" s="1508"/>
      <c r="J1256" s="1508"/>
      <c r="K1256" s="1509"/>
      <c r="L1256" s="1509"/>
      <c r="M1256" s="1509"/>
      <c r="N1256" s="1509"/>
      <c r="O1256" s="1509"/>
      <c r="P1256" s="1509"/>
      <c r="Q1256" s="1314"/>
      <c r="R1256" s="1314"/>
      <c r="S1256" s="1314"/>
      <c r="T1256" s="1314"/>
      <c r="U1256" s="1314"/>
      <c r="V1256" s="1314"/>
      <c r="W1256" s="1314"/>
      <c r="X1256" s="1314"/>
      <c r="Y1256" s="1314"/>
      <c r="Z1256" s="1314"/>
    </row>
    <row r="1257" spans="1:26" ht="18.75">
      <c r="A1257" s="1393"/>
      <c r="B1257" s="1393"/>
      <c r="C1257" s="1393"/>
      <c r="D1257" s="1506"/>
      <c r="E1257" s="1393"/>
      <c r="F1257" s="1393"/>
      <c r="G1257" s="1393"/>
      <c r="H1257" s="1507"/>
      <c r="I1257" s="1508"/>
      <c r="J1257" s="1508"/>
      <c r="K1257" s="1509"/>
      <c r="L1257" s="1509"/>
      <c r="M1257" s="1509"/>
      <c r="N1257" s="1509"/>
      <c r="O1257" s="1509"/>
      <c r="P1257" s="1509"/>
      <c r="Q1257" s="1314"/>
      <c r="R1257" s="1314"/>
      <c r="S1257" s="1314"/>
      <c r="T1257" s="1314"/>
      <c r="U1257" s="1314"/>
      <c r="V1257" s="1314"/>
      <c r="W1257" s="1314"/>
      <c r="X1257" s="1314"/>
      <c r="Y1257" s="1314"/>
      <c r="Z1257" s="1314"/>
    </row>
    <row r="1258" spans="1:26" ht="18.75">
      <c r="A1258" s="1393"/>
      <c r="B1258" s="1393"/>
      <c r="C1258" s="1393"/>
      <c r="D1258" s="1506"/>
      <c r="E1258" s="1393"/>
      <c r="F1258" s="1393"/>
      <c r="G1258" s="1393"/>
      <c r="H1258" s="1507"/>
      <c r="I1258" s="1508"/>
      <c r="J1258" s="1508"/>
      <c r="K1258" s="1509"/>
      <c r="L1258" s="1509"/>
      <c r="M1258" s="1509"/>
      <c r="N1258" s="1509"/>
      <c r="O1258" s="1509"/>
      <c r="P1258" s="1509"/>
      <c r="Q1258" s="1314"/>
      <c r="R1258" s="1314"/>
      <c r="S1258" s="1314"/>
      <c r="T1258" s="1314"/>
      <c r="U1258" s="1314"/>
      <c r="V1258" s="1314"/>
      <c r="W1258" s="1314"/>
      <c r="X1258" s="1314"/>
      <c r="Y1258" s="1314"/>
      <c r="Z1258" s="1314"/>
    </row>
    <row r="1259" spans="1:26" ht="18.75">
      <c r="A1259" s="1393"/>
      <c r="B1259" s="1393"/>
      <c r="C1259" s="1393"/>
      <c r="D1259" s="1506"/>
      <c r="E1259" s="1393"/>
      <c r="F1259" s="1393"/>
      <c r="G1259" s="1393"/>
      <c r="H1259" s="1507"/>
      <c r="I1259" s="1508"/>
      <c r="J1259" s="1508"/>
      <c r="K1259" s="1509"/>
      <c r="L1259" s="1509"/>
      <c r="M1259" s="1509"/>
      <c r="N1259" s="1509"/>
      <c r="O1259" s="1509"/>
      <c r="P1259" s="1509"/>
      <c r="Q1259" s="1314"/>
      <c r="R1259" s="1314"/>
      <c r="S1259" s="1314"/>
      <c r="T1259" s="1314"/>
      <c r="U1259" s="1314"/>
      <c r="V1259" s="1314"/>
      <c r="W1259" s="1314"/>
      <c r="X1259" s="1314"/>
      <c r="Y1259" s="1314"/>
      <c r="Z1259" s="1314"/>
    </row>
    <row r="1260" spans="1:26" ht="18.75">
      <c r="A1260" s="1393"/>
      <c r="B1260" s="1393"/>
      <c r="C1260" s="1393"/>
      <c r="D1260" s="1506"/>
      <c r="E1260" s="1393"/>
      <c r="F1260" s="1393"/>
      <c r="G1260" s="1393"/>
      <c r="H1260" s="1507"/>
      <c r="I1260" s="1508"/>
      <c r="J1260" s="1508"/>
      <c r="K1260" s="1509"/>
      <c r="L1260" s="1509"/>
      <c r="M1260" s="1509"/>
      <c r="N1260" s="1509"/>
      <c r="O1260" s="1509"/>
      <c r="P1260" s="1509"/>
      <c r="Q1260" s="1314"/>
      <c r="R1260" s="1314"/>
      <c r="S1260" s="1314"/>
      <c r="T1260" s="1314"/>
      <c r="U1260" s="1314"/>
      <c r="V1260" s="1314"/>
      <c r="W1260" s="1314"/>
      <c r="X1260" s="1314"/>
      <c r="Y1260" s="1314"/>
      <c r="Z1260" s="1314"/>
    </row>
    <row r="1261" spans="1:26" ht="18.75">
      <c r="A1261" s="1393"/>
      <c r="B1261" s="1393"/>
      <c r="C1261" s="1393"/>
      <c r="D1261" s="1506"/>
      <c r="E1261" s="1393"/>
      <c r="F1261" s="1393"/>
      <c r="G1261" s="1393"/>
      <c r="H1261" s="1507"/>
      <c r="I1261" s="1508"/>
      <c r="J1261" s="1508"/>
      <c r="K1261" s="1509"/>
      <c r="L1261" s="1509"/>
      <c r="M1261" s="1509"/>
      <c r="N1261" s="1509"/>
      <c r="O1261" s="1509"/>
      <c r="P1261" s="1509"/>
      <c r="Q1261" s="1314"/>
      <c r="R1261" s="1314"/>
      <c r="S1261" s="1314"/>
      <c r="T1261" s="1314"/>
      <c r="U1261" s="1314"/>
      <c r="V1261" s="1314"/>
      <c r="W1261" s="1314"/>
      <c r="X1261" s="1314"/>
      <c r="Y1261" s="1314"/>
      <c r="Z1261" s="1314"/>
    </row>
    <row r="1262" spans="1:26" ht="18.75">
      <c r="A1262" s="1393"/>
      <c r="B1262" s="1393"/>
      <c r="C1262" s="1393"/>
      <c r="D1262" s="1506"/>
      <c r="E1262" s="1393"/>
      <c r="F1262" s="1393"/>
      <c r="G1262" s="1393"/>
      <c r="H1262" s="1507"/>
      <c r="I1262" s="1508"/>
      <c r="J1262" s="1508"/>
      <c r="K1262" s="1509"/>
      <c r="L1262" s="1509"/>
      <c r="M1262" s="1509"/>
      <c r="N1262" s="1509"/>
      <c r="O1262" s="1509"/>
      <c r="P1262" s="1509"/>
      <c r="Q1262" s="1314"/>
      <c r="R1262" s="1314"/>
      <c r="S1262" s="1314"/>
      <c r="T1262" s="1314"/>
      <c r="U1262" s="1314"/>
      <c r="V1262" s="1314"/>
      <c r="W1262" s="1314"/>
      <c r="X1262" s="1314"/>
      <c r="Y1262" s="1314"/>
      <c r="Z1262" s="1314"/>
    </row>
    <row r="1263" spans="1:26" ht="18.75">
      <c r="A1263" s="1393"/>
      <c r="B1263" s="1393"/>
      <c r="C1263" s="1393"/>
      <c r="D1263" s="1506"/>
      <c r="E1263" s="1393"/>
      <c r="F1263" s="1393"/>
      <c r="G1263" s="1393"/>
      <c r="H1263" s="1507"/>
      <c r="I1263" s="1508"/>
      <c r="J1263" s="1508"/>
      <c r="K1263" s="1509"/>
      <c r="L1263" s="1509"/>
      <c r="M1263" s="1509"/>
      <c r="N1263" s="1509"/>
      <c r="O1263" s="1509"/>
      <c r="P1263" s="1509"/>
      <c r="Q1263" s="1314"/>
      <c r="R1263" s="1314"/>
      <c r="S1263" s="1314"/>
      <c r="T1263" s="1314"/>
      <c r="U1263" s="1314"/>
      <c r="V1263" s="1314"/>
      <c r="W1263" s="1314"/>
      <c r="X1263" s="1314"/>
      <c r="Y1263" s="1314"/>
      <c r="Z1263" s="1314"/>
    </row>
    <row r="1264" spans="1:26" ht="18.75">
      <c r="A1264" s="1393"/>
      <c r="B1264" s="1393"/>
      <c r="C1264" s="1393"/>
      <c r="D1264" s="1506"/>
      <c r="E1264" s="1393"/>
      <c r="F1264" s="1393"/>
      <c r="G1264" s="1393"/>
      <c r="H1264" s="1507"/>
      <c r="I1264" s="1508"/>
      <c r="J1264" s="1508"/>
      <c r="K1264" s="1509"/>
      <c r="L1264" s="1509"/>
      <c r="M1264" s="1509"/>
      <c r="N1264" s="1509"/>
      <c r="O1264" s="1509"/>
      <c r="P1264" s="1509"/>
      <c r="Q1264" s="1314"/>
      <c r="R1264" s="1314"/>
      <c r="S1264" s="1314"/>
      <c r="T1264" s="1314"/>
      <c r="U1264" s="1314"/>
      <c r="V1264" s="1314"/>
      <c r="W1264" s="1314"/>
      <c r="X1264" s="1314"/>
      <c r="Y1264" s="1314"/>
      <c r="Z1264" s="1314"/>
    </row>
    <row r="1265" spans="1:26" ht="18.75">
      <c r="A1265" s="1393"/>
      <c r="B1265" s="1393"/>
      <c r="C1265" s="1393"/>
      <c r="D1265" s="1506"/>
      <c r="E1265" s="1393"/>
      <c r="F1265" s="1393"/>
      <c r="G1265" s="1393"/>
      <c r="H1265" s="1507"/>
      <c r="I1265" s="1508"/>
      <c r="J1265" s="1508"/>
      <c r="K1265" s="1509"/>
      <c r="L1265" s="1509"/>
      <c r="M1265" s="1509"/>
      <c r="N1265" s="1509"/>
      <c r="O1265" s="1509"/>
      <c r="P1265" s="1509"/>
      <c r="Q1265" s="1314"/>
      <c r="R1265" s="1314"/>
      <c r="S1265" s="1314"/>
      <c r="T1265" s="1314"/>
      <c r="U1265" s="1314"/>
      <c r="V1265" s="1314"/>
      <c r="W1265" s="1314"/>
      <c r="X1265" s="1314"/>
      <c r="Y1265" s="1314"/>
      <c r="Z1265" s="1314"/>
    </row>
    <row r="1266" spans="1:26" ht="18.75">
      <c r="A1266" s="1393"/>
      <c r="B1266" s="1393"/>
      <c r="C1266" s="1393"/>
      <c r="D1266" s="1506"/>
      <c r="E1266" s="1393"/>
      <c r="F1266" s="1393"/>
      <c r="G1266" s="1393"/>
      <c r="H1266" s="1507"/>
      <c r="I1266" s="1508"/>
      <c r="J1266" s="1508"/>
      <c r="K1266" s="1509"/>
      <c r="L1266" s="1509"/>
      <c r="M1266" s="1509"/>
      <c r="N1266" s="1509"/>
      <c r="O1266" s="1509"/>
      <c r="P1266" s="1509"/>
      <c r="Q1266" s="1314"/>
      <c r="R1266" s="1314"/>
      <c r="S1266" s="1314"/>
      <c r="T1266" s="1314"/>
      <c r="U1266" s="1314"/>
      <c r="V1266" s="1314"/>
      <c r="W1266" s="1314"/>
      <c r="X1266" s="1314"/>
      <c r="Y1266" s="1314"/>
      <c r="Z1266" s="1314"/>
    </row>
    <row r="1267" spans="1:26" ht="18.75">
      <c r="A1267" s="1393"/>
      <c r="B1267" s="1393"/>
      <c r="C1267" s="1393"/>
      <c r="D1267" s="1506"/>
      <c r="E1267" s="1393"/>
      <c r="F1267" s="1393"/>
      <c r="G1267" s="1393"/>
      <c r="H1267" s="1507"/>
      <c r="I1267" s="1508"/>
      <c r="J1267" s="1508"/>
      <c r="K1267" s="1509"/>
      <c r="L1267" s="1509"/>
      <c r="M1267" s="1509"/>
      <c r="N1267" s="1509"/>
      <c r="O1267" s="1509"/>
      <c r="P1267" s="1509"/>
      <c r="Q1267" s="1314"/>
      <c r="R1267" s="1314"/>
      <c r="S1267" s="1314"/>
      <c r="T1267" s="1314"/>
      <c r="U1267" s="1314"/>
      <c r="V1267" s="1314"/>
      <c r="W1267" s="1314"/>
      <c r="X1267" s="1314"/>
      <c r="Y1267" s="1314"/>
      <c r="Z1267" s="1314"/>
    </row>
    <row r="1268" spans="1:26" ht="18.75">
      <c r="A1268" s="1393"/>
      <c r="B1268" s="1393"/>
      <c r="C1268" s="1393"/>
      <c r="D1268" s="1506"/>
      <c r="E1268" s="1393"/>
      <c r="F1268" s="1393"/>
      <c r="G1268" s="1393"/>
      <c r="H1268" s="1507"/>
      <c r="I1268" s="1508"/>
      <c r="J1268" s="1508"/>
      <c r="K1268" s="1509"/>
      <c r="L1268" s="1509"/>
      <c r="M1268" s="1509"/>
      <c r="N1268" s="1509"/>
      <c r="O1268" s="1509"/>
      <c r="P1268" s="1509"/>
      <c r="Q1268" s="1314"/>
      <c r="R1268" s="1314"/>
      <c r="S1268" s="1314"/>
      <c r="T1268" s="1314"/>
      <c r="U1268" s="1314"/>
      <c r="V1268" s="1314"/>
      <c r="W1268" s="1314"/>
      <c r="X1268" s="1314"/>
      <c r="Y1268" s="1314"/>
      <c r="Z1268" s="1314"/>
    </row>
    <row r="1269" spans="1:26" ht="18.75">
      <c r="A1269" s="1393"/>
      <c r="B1269" s="1393"/>
      <c r="C1269" s="1393"/>
      <c r="D1269" s="1506"/>
      <c r="E1269" s="1393"/>
      <c r="F1269" s="1393"/>
      <c r="G1269" s="1393"/>
      <c r="H1269" s="1507"/>
      <c r="I1269" s="1508"/>
      <c r="J1269" s="1508"/>
      <c r="K1269" s="1509"/>
      <c r="L1269" s="1509"/>
      <c r="M1269" s="1509"/>
      <c r="N1269" s="1509"/>
      <c r="O1269" s="1509"/>
      <c r="P1269" s="1509"/>
      <c r="Q1269" s="1314"/>
      <c r="R1269" s="1314"/>
      <c r="S1269" s="1314"/>
      <c r="T1269" s="1314"/>
      <c r="U1269" s="1314"/>
      <c r="V1269" s="1314"/>
      <c r="W1269" s="1314"/>
      <c r="X1269" s="1314"/>
      <c r="Y1269" s="1314"/>
      <c r="Z1269" s="1314"/>
    </row>
    <row r="1270" spans="1:26" ht="18.75">
      <c r="A1270" s="1393"/>
      <c r="B1270" s="1393"/>
      <c r="C1270" s="1393"/>
      <c r="D1270" s="1506"/>
      <c r="E1270" s="1393"/>
      <c r="F1270" s="1393"/>
      <c r="G1270" s="1393"/>
      <c r="H1270" s="1507"/>
      <c r="I1270" s="1508"/>
      <c r="J1270" s="1508"/>
      <c r="K1270" s="1509"/>
      <c r="L1270" s="1509"/>
      <c r="M1270" s="1509"/>
      <c r="N1270" s="1509"/>
      <c r="O1270" s="1509"/>
      <c r="P1270" s="1509"/>
      <c r="Q1270" s="1314"/>
      <c r="R1270" s="1314"/>
      <c r="S1270" s="1314"/>
      <c r="T1270" s="1314"/>
      <c r="U1270" s="1314"/>
      <c r="V1270" s="1314"/>
      <c r="W1270" s="1314"/>
      <c r="X1270" s="1314"/>
      <c r="Y1270" s="1314"/>
      <c r="Z1270" s="1314"/>
    </row>
    <row r="1271" spans="1:26" ht="18.75">
      <c r="A1271" s="1393"/>
      <c r="B1271" s="1393"/>
      <c r="C1271" s="1393"/>
      <c r="D1271" s="1506"/>
      <c r="E1271" s="1393"/>
      <c r="F1271" s="1393"/>
      <c r="G1271" s="1393"/>
      <c r="H1271" s="1507"/>
      <c r="I1271" s="1508"/>
      <c r="J1271" s="1508"/>
      <c r="K1271" s="1509"/>
      <c r="L1271" s="1509"/>
      <c r="M1271" s="1509"/>
      <c r="N1271" s="1509"/>
      <c r="O1271" s="1509"/>
      <c r="P1271" s="1509"/>
      <c r="Q1271" s="1314"/>
      <c r="R1271" s="1314"/>
      <c r="S1271" s="1314"/>
      <c r="T1271" s="1314"/>
      <c r="U1271" s="1314"/>
      <c r="V1271" s="1314"/>
      <c r="W1271" s="1314"/>
      <c r="X1271" s="1314"/>
      <c r="Y1271" s="1314"/>
      <c r="Z1271" s="1314"/>
    </row>
    <row r="1272" spans="1:26" ht="18.75">
      <c r="A1272" s="1393"/>
      <c r="B1272" s="1393"/>
      <c r="C1272" s="1393"/>
      <c r="D1272" s="1506"/>
      <c r="E1272" s="1393"/>
      <c r="F1272" s="1393"/>
      <c r="G1272" s="1393"/>
      <c r="H1272" s="1507"/>
      <c r="I1272" s="1508"/>
      <c r="J1272" s="1508"/>
      <c r="K1272" s="1509"/>
      <c r="L1272" s="1509"/>
      <c r="M1272" s="1509"/>
      <c r="N1272" s="1509"/>
      <c r="O1272" s="1509"/>
      <c r="P1272" s="1509"/>
      <c r="Q1272" s="1314"/>
      <c r="R1272" s="1314"/>
      <c r="S1272" s="1314"/>
      <c r="T1272" s="1314"/>
      <c r="U1272" s="1314"/>
      <c r="V1272" s="1314"/>
      <c r="W1272" s="1314"/>
      <c r="X1272" s="1314"/>
      <c r="Y1272" s="1314"/>
      <c r="Z1272" s="1314"/>
    </row>
    <row r="1273" spans="1:26" ht="18.75">
      <c r="A1273" s="1393"/>
      <c r="B1273" s="1393"/>
      <c r="C1273" s="1393"/>
      <c r="D1273" s="1506"/>
      <c r="E1273" s="1393"/>
      <c r="F1273" s="1393"/>
      <c r="G1273" s="1393"/>
      <c r="H1273" s="1507"/>
      <c r="I1273" s="1508"/>
      <c r="J1273" s="1508"/>
      <c r="K1273" s="1509"/>
      <c r="L1273" s="1509"/>
      <c r="M1273" s="1509"/>
      <c r="N1273" s="1509"/>
      <c r="O1273" s="1509"/>
      <c r="P1273" s="1509"/>
      <c r="Q1273" s="1314"/>
      <c r="R1273" s="1314"/>
      <c r="S1273" s="1314"/>
      <c r="T1273" s="1314"/>
      <c r="U1273" s="1314"/>
      <c r="V1273" s="1314"/>
      <c r="W1273" s="1314"/>
      <c r="X1273" s="1314"/>
      <c r="Y1273" s="1314"/>
      <c r="Z1273" s="1314"/>
    </row>
    <row r="1274" spans="1:26" ht="18.75">
      <c r="A1274" s="1393"/>
      <c r="B1274" s="1393"/>
      <c r="C1274" s="1393"/>
      <c r="D1274" s="1506"/>
      <c r="E1274" s="1393"/>
      <c r="F1274" s="1393"/>
      <c r="G1274" s="1393"/>
      <c r="H1274" s="1507"/>
      <c r="I1274" s="1508"/>
      <c r="J1274" s="1508"/>
      <c r="K1274" s="1509"/>
      <c r="L1274" s="1509"/>
      <c r="M1274" s="1509"/>
      <c r="N1274" s="1509"/>
      <c r="O1274" s="1509"/>
      <c r="P1274" s="1509"/>
      <c r="Q1274" s="1314"/>
      <c r="R1274" s="1314"/>
      <c r="S1274" s="1314"/>
      <c r="T1274" s="1314"/>
      <c r="U1274" s="1314"/>
      <c r="V1274" s="1314"/>
      <c r="W1274" s="1314"/>
      <c r="X1274" s="1314"/>
      <c r="Y1274" s="1314"/>
      <c r="Z1274" s="1314"/>
    </row>
    <row r="1275" spans="1:26" ht="18.75">
      <c r="A1275" s="1393"/>
      <c r="B1275" s="1393"/>
      <c r="C1275" s="1393"/>
      <c r="D1275" s="1506"/>
      <c r="E1275" s="1393"/>
      <c r="F1275" s="1393"/>
      <c r="G1275" s="1393"/>
      <c r="H1275" s="1507"/>
      <c r="I1275" s="1508"/>
      <c r="J1275" s="1508"/>
      <c r="K1275" s="1509"/>
      <c r="L1275" s="1509"/>
      <c r="M1275" s="1509"/>
      <c r="N1275" s="1509"/>
      <c r="O1275" s="1509"/>
      <c r="P1275" s="1509"/>
      <c r="Q1275" s="1314"/>
      <c r="R1275" s="1314"/>
      <c r="S1275" s="1314"/>
      <c r="T1275" s="1314"/>
      <c r="U1275" s="1314"/>
      <c r="V1275" s="1314"/>
      <c r="W1275" s="1314"/>
      <c r="X1275" s="1314"/>
      <c r="Y1275" s="1314"/>
      <c r="Z1275" s="1314"/>
    </row>
    <row r="1276" spans="1:26" ht="18.75">
      <c r="A1276" s="1393"/>
      <c r="B1276" s="1393"/>
      <c r="C1276" s="1393"/>
      <c r="D1276" s="1506"/>
      <c r="E1276" s="1393"/>
      <c r="F1276" s="1393"/>
      <c r="G1276" s="1393"/>
      <c r="H1276" s="1507"/>
      <c r="I1276" s="1508"/>
      <c r="J1276" s="1508"/>
      <c r="K1276" s="1509"/>
      <c r="L1276" s="1509"/>
      <c r="M1276" s="1509"/>
      <c r="N1276" s="1509"/>
      <c r="O1276" s="1509"/>
      <c r="P1276" s="1509"/>
      <c r="Q1276" s="1314"/>
      <c r="R1276" s="1314"/>
      <c r="S1276" s="1314"/>
      <c r="T1276" s="1314"/>
      <c r="U1276" s="1314"/>
      <c r="V1276" s="1314"/>
      <c r="W1276" s="1314"/>
      <c r="X1276" s="1314"/>
      <c r="Y1276" s="1314"/>
      <c r="Z1276" s="1314"/>
    </row>
    <row r="1277" spans="1:26" ht="18.75">
      <c r="A1277" s="1393"/>
      <c r="B1277" s="1393"/>
      <c r="C1277" s="1393"/>
      <c r="D1277" s="1506"/>
      <c r="E1277" s="1393"/>
      <c r="F1277" s="1393"/>
      <c r="G1277" s="1393"/>
      <c r="H1277" s="1507"/>
      <c r="I1277" s="1508"/>
      <c r="J1277" s="1508"/>
      <c r="K1277" s="1509"/>
      <c r="L1277" s="1509"/>
      <c r="M1277" s="1509"/>
      <c r="N1277" s="1509"/>
      <c r="O1277" s="1509"/>
      <c r="P1277" s="1509"/>
      <c r="Q1277" s="1314"/>
      <c r="R1277" s="1314"/>
      <c r="S1277" s="1314"/>
      <c r="T1277" s="1314"/>
      <c r="U1277" s="1314"/>
      <c r="V1277" s="1314"/>
      <c r="W1277" s="1314"/>
      <c r="X1277" s="1314"/>
      <c r="Y1277" s="1314"/>
      <c r="Z1277" s="1314"/>
    </row>
    <row r="1278" spans="1:26" ht="18.75">
      <c r="A1278" s="1393"/>
      <c r="B1278" s="1393"/>
      <c r="C1278" s="1393"/>
      <c r="D1278" s="1506"/>
      <c r="E1278" s="1393"/>
      <c r="F1278" s="1393"/>
      <c r="G1278" s="1393"/>
      <c r="H1278" s="1507"/>
      <c r="I1278" s="1508"/>
      <c r="J1278" s="1508"/>
      <c r="K1278" s="1509"/>
      <c r="L1278" s="1509"/>
      <c r="M1278" s="1509"/>
      <c r="N1278" s="1509"/>
      <c r="O1278" s="1509"/>
      <c r="P1278" s="1509"/>
      <c r="Q1278" s="1314"/>
      <c r="R1278" s="1314"/>
      <c r="S1278" s="1314"/>
      <c r="T1278" s="1314"/>
      <c r="U1278" s="1314"/>
      <c r="V1278" s="1314"/>
      <c r="W1278" s="1314"/>
      <c r="X1278" s="1314"/>
      <c r="Y1278" s="1314"/>
      <c r="Z1278" s="1314"/>
    </row>
    <row r="1279" spans="1:26" ht="18.75">
      <c r="A1279" s="1393"/>
      <c r="B1279" s="1393"/>
      <c r="C1279" s="1393"/>
      <c r="D1279" s="1506"/>
      <c r="E1279" s="1393"/>
      <c r="F1279" s="1393"/>
      <c r="G1279" s="1393"/>
      <c r="H1279" s="1507"/>
      <c r="I1279" s="1508"/>
      <c r="J1279" s="1508"/>
      <c r="K1279" s="1509"/>
      <c r="L1279" s="1509"/>
      <c r="M1279" s="1509"/>
      <c r="N1279" s="1509"/>
      <c r="O1279" s="1509"/>
      <c r="P1279" s="1509"/>
      <c r="Q1279" s="1314"/>
      <c r="R1279" s="1314"/>
      <c r="S1279" s="1314"/>
      <c r="T1279" s="1314"/>
      <c r="U1279" s="1314"/>
      <c r="V1279" s="1314"/>
      <c r="W1279" s="1314"/>
      <c r="X1279" s="1314"/>
      <c r="Y1279" s="1314"/>
      <c r="Z1279" s="1314"/>
    </row>
    <row r="1280" spans="1:26" ht="18.75">
      <c r="A1280" s="1393"/>
      <c r="B1280" s="1393"/>
      <c r="C1280" s="1393"/>
      <c r="D1280" s="1506"/>
      <c r="E1280" s="1393"/>
      <c r="F1280" s="1393"/>
      <c r="G1280" s="1393"/>
      <c r="H1280" s="1507"/>
      <c r="I1280" s="1508"/>
      <c r="J1280" s="1508"/>
      <c r="K1280" s="1509"/>
      <c r="L1280" s="1509"/>
      <c r="M1280" s="1509"/>
      <c r="N1280" s="1509"/>
      <c r="O1280" s="1509"/>
      <c r="P1280" s="1509"/>
      <c r="Q1280" s="1314"/>
      <c r="R1280" s="1314"/>
      <c r="S1280" s="1314"/>
      <c r="T1280" s="1314"/>
      <c r="U1280" s="1314"/>
      <c r="V1280" s="1314"/>
      <c r="W1280" s="1314"/>
      <c r="X1280" s="1314"/>
      <c r="Y1280" s="1314"/>
      <c r="Z1280" s="1314"/>
    </row>
    <row r="1281" spans="1:26" ht="18.75">
      <c r="A1281" s="1393"/>
      <c r="B1281" s="1393"/>
      <c r="C1281" s="1393"/>
      <c r="D1281" s="1506"/>
      <c r="E1281" s="1393"/>
      <c r="F1281" s="1393"/>
      <c r="G1281" s="1393"/>
      <c r="H1281" s="1507"/>
      <c r="I1281" s="1508"/>
      <c r="J1281" s="1508"/>
      <c r="K1281" s="1509"/>
      <c r="L1281" s="1509"/>
      <c r="M1281" s="1509"/>
      <c r="N1281" s="1509"/>
      <c r="O1281" s="1509"/>
      <c r="P1281" s="1509"/>
      <c r="Q1281" s="1314"/>
      <c r="R1281" s="1314"/>
      <c r="S1281" s="1314"/>
      <c r="T1281" s="1314"/>
      <c r="U1281" s="1314"/>
      <c r="V1281" s="1314"/>
      <c r="W1281" s="1314"/>
      <c r="X1281" s="1314"/>
      <c r="Y1281" s="1314"/>
      <c r="Z1281" s="1314"/>
    </row>
    <row r="1282" spans="1:26" ht="18.75">
      <c r="A1282" s="1393"/>
      <c r="B1282" s="1393"/>
      <c r="C1282" s="1393"/>
      <c r="D1282" s="1506"/>
      <c r="E1282" s="1393"/>
      <c r="F1282" s="1393"/>
      <c r="G1282" s="1393"/>
      <c r="H1282" s="1507"/>
      <c r="I1282" s="1508"/>
      <c r="J1282" s="1508"/>
      <c r="K1282" s="1509"/>
      <c r="L1282" s="1509"/>
      <c r="M1282" s="1509"/>
      <c r="N1282" s="1509"/>
      <c r="O1282" s="1509"/>
      <c r="P1282" s="1509"/>
      <c r="Q1282" s="1314"/>
      <c r="R1282" s="1314"/>
      <c r="S1282" s="1314"/>
      <c r="T1282" s="1314"/>
      <c r="U1282" s="1314"/>
      <c r="V1282" s="1314"/>
      <c r="W1282" s="1314"/>
      <c r="X1282" s="1314"/>
      <c r="Y1282" s="1314"/>
      <c r="Z1282" s="1314"/>
    </row>
    <row r="1283" spans="1:26" ht="18.75">
      <c r="A1283" s="1393"/>
      <c r="B1283" s="1393"/>
      <c r="C1283" s="1393"/>
      <c r="D1283" s="1506"/>
      <c r="E1283" s="1393"/>
      <c r="F1283" s="1393"/>
      <c r="G1283" s="1393"/>
      <c r="H1283" s="1507"/>
      <c r="I1283" s="1508"/>
      <c r="J1283" s="1508"/>
      <c r="K1283" s="1509"/>
      <c r="L1283" s="1509"/>
      <c r="M1283" s="1509"/>
      <c r="N1283" s="1509"/>
      <c r="O1283" s="1509"/>
      <c r="P1283" s="1509"/>
      <c r="Q1283" s="1314"/>
      <c r="R1283" s="1314"/>
      <c r="S1283" s="1314"/>
      <c r="T1283" s="1314"/>
      <c r="U1283" s="1314"/>
      <c r="V1283" s="1314"/>
      <c r="W1283" s="1314"/>
      <c r="X1283" s="1314"/>
      <c r="Y1283" s="1314"/>
      <c r="Z1283" s="1314"/>
    </row>
    <row r="1284" spans="1:26" ht="18.75">
      <c r="A1284" s="1393"/>
      <c r="B1284" s="1393"/>
      <c r="C1284" s="1393"/>
      <c r="D1284" s="1506"/>
      <c r="E1284" s="1393"/>
      <c r="F1284" s="1393"/>
      <c r="G1284" s="1393"/>
      <c r="H1284" s="1507"/>
      <c r="I1284" s="1508"/>
      <c r="J1284" s="1508"/>
      <c r="K1284" s="1509"/>
      <c r="L1284" s="1509"/>
      <c r="M1284" s="1509"/>
      <c r="N1284" s="1509"/>
      <c r="O1284" s="1509"/>
      <c r="P1284" s="1509"/>
      <c r="Q1284" s="1314"/>
      <c r="R1284" s="1314"/>
      <c r="S1284" s="1314"/>
      <c r="T1284" s="1314"/>
      <c r="U1284" s="1314"/>
      <c r="V1284" s="1314"/>
      <c r="W1284" s="1314"/>
      <c r="X1284" s="1314"/>
      <c r="Y1284" s="1314"/>
      <c r="Z1284" s="1314"/>
    </row>
    <row r="1285" spans="1:26" ht="18.75">
      <c r="A1285" s="1393"/>
      <c r="B1285" s="1393"/>
      <c r="C1285" s="1393"/>
      <c r="D1285" s="1506"/>
      <c r="E1285" s="1393"/>
      <c r="F1285" s="1393"/>
      <c r="G1285" s="1393"/>
      <c r="H1285" s="1507"/>
      <c r="I1285" s="1508"/>
      <c r="J1285" s="1508"/>
      <c r="K1285" s="1509"/>
      <c r="L1285" s="1509"/>
      <c r="M1285" s="1509"/>
      <c r="N1285" s="1509"/>
      <c r="O1285" s="1509"/>
      <c r="P1285" s="1509"/>
      <c r="Q1285" s="1314"/>
      <c r="R1285" s="1314"/>
      <c r="S1285" s="1314"/>
      <c r="T1285" s="1314"/>
      <c r="U1285" s="1314"/>
      <c r="V1285" s="1314"/>
      <c r="W1285" s="1314"/>
      <c r="X1285" s="1314"/>
      <c r="Y1285" s="1314"/>
      <c r="Z1285" s="1314"/>
    </row>
    <row r="1286" spans="1:26" ht="18.75">
      <c r="A1286" s="1393"/>
      <c r="B1286" s="1393"/>
      <c r="C1286" s="1393"/>
      <c r="D1286" s="1506"/>
      <c r="E1286" s="1393"/>
      <c r="F1286" s="1393"/>
      <c r="G1286" s="1393"/>
      <c r="H1286" s="1507"/>
      <c r="I1286" s="1508"/>
      <c r="J1286" s="1508"/>
      <c r="K1286" s="1509"/>
      <c r="L1286" s="1509"/>
      <c r="M1286" s="1509"/>
      <c r="N1286" s="1509"/>
      <c r="O1286" s="1509"/>
      <c r="P1286" s="1509"/>
      <c r="Q1286" s="1314"/>
      <c r="R1286" s="1314"/>
      <c r="S1286" s="1314"/>
      <c r="T1286" s="1314"/>
      <c r="U1286" s="1314"/>
      <c r="V1286" s="1314"/>
      <c r="W1286" s="1314"/>
      <c r="X1286" s="1314"/>
      <c r="Y1286" s="1314"/>
      <c r="Z1286" s="1314"/>
    </row>
    <row r="1287" spans="1:26" ht="18.75">
      <c r="A1287" s="1393"/>
      <c r="B1287" s="1393"/>
      <c r="C1287" s="1393"/>
      <c r="D1287" s="1506"/>
      <c r="E1287" s="1393"/>
      <c r="F1287" s="1393"/>
      <c r="G1287" s="1393"/>
      <c r="H1287" s="1507"/>
      <c r="I1287" s="1508"/>
      <c r="J1287" s="1508"/>
      <c r="K1287" s="1509"/>
      <c r="L1287" s="1509"/>
      <c r="M1287" s="1509"/>
      <c r="N1287" s="1509"/>
      <c r="O1287" s="1509"/>
      <c r="P1287" s="1509"/>
      <c r="Q1287" s="1314"/>
      <c r="R1287" s="1314"/>
      <c r="S1287" s="1314"/>
      <c r="T1287" s="1314"/>
      <c r="U1287" s="1314"/>
      <c r="V1287" s="1314"/>
      <c r="W1287" s="1314"/>
      <c r="X1287" s="1314"/>
      <c r="Y1287" s="1314"/>
      <c r="Z1287" s="1314"/>
    </row>
    <row r="1288" spans="1:26" ht="18.75">
      <c r="A1288" s="1393"/>
      <c r="B1288" s="1393"/>
      <c r="C1288" s="1393"/>
      <c r="D1288" s="1506"/>
      <c r="E1288" s="1393"/>
      <c r="F1288" s="1393"/>
      <c r="G1288" s="1393"/>
      <c r="H1288" s="1507"/>
      <c r="I1288" s="1508"/>
      <c r="J1288" s="1508"/>
      <c r="K1288" s="1509"/>
      <c r="L1288" s="1509"/>
      <c r="M1288" s="1509"/>
      <c r="N1288" s="1509"/>
      <c r="O1288" s="1509"/>
      <c r="P1288" s="1509"/>
      <c r="Q1288" s="1314"/>
      <c r="R1288" s="1314"/>
      <c r="S1288" s="1314"/>
      <c r="T1288" s="1314"/>
      <c r="U1288" s="1314"/>
      <c r="V1288" s="1314"/>
      <c r="W1288" s="1314"/>
      <c r="X1288" s="1314"/>
      <c r="Y1288" s="1314"/>
      <c r="Z1288" s="1314"/>
    </row>
    <row r="1289" spans="1:26" ht="18.75">
      <c r="A1289" s="1393"/>
      <c r="B1289" s="1393"/>
      <c r="C1289" s="1393"/>
      <c r="D1289" s="1506"/>
      <c r="E1289" s="1393"/>
      <c r="F1289" s="1393"/>
      <c r="G1289" s="1393"/>
      <c r="H1289" s="1507"/>
      <c r="I1289" s="1508"/>
      <c r="J1289" s="1508"/>
      <c r="K1289" s="1509"/>
      <c r="L1289" s="1509"/>
      <c r="M1289" s="1509"/>
      <c r="N1289" s="1509"/>
      <c r="O1289" s="1509"/>
      <c r="P1289" s="1509"/>
      <c r="Q1289" s="1314"/>
      <c r="R1289" s="1314"/>
      <c r="S1289" s="1314"/>
      <c r="T1289" s="1314"/>
      <c r="U1289" s="1314"/>
      <c r="V1289" s="1314"/>
      <c r="W1289" s="1314"/>
      <c r="X1289" s="1314"/>
      <c r="Y1289" s="1314"/>
      <c r="Z1289" s="1314"/>
    </row>
    <row r="1290" spans="1:26" ht="18.75">
      <c r="A1290" s="1393"/>
      <c r="B1290" s="1393"/>
      <c r="C1290" s="1393"/>
      <c r="D1290" s="1506"/>
      <c r="E1290" s="1393"/>
      <c r="F1290" s="1393"/>
      <c r="G1290" s="1393"/>
      <c r="H1290" s="1507"/>
      <c r="I1290" s="1508"/>
      <c r="J1290" s="1508"/>
      <c r="K1290" s="1509"/>
      <c r="L1290" s="1509"/>
      <c r="M1290" s="1509"/>
      <c r="N1290" s="1509"/>
      <c r="O1290" s="1509"/>
      <c r="P1290" s="1509"/>
      <c r="Q1290" s="1314"/>
      <c r="R1290" s="1314"/>
      <c r="S1290" s="1314"/>
      <c r="T1290" s="1314"/>
      <c r="U1290" s="1314"/>
      <c r="V1290" s="1314"/>
      <c r="W1290" s="1314"/>
      <c r="X1290" s="1314"/>
      <c r="Y1290" s="1314"/>
      <c r="Z1290" s="1314"/>
    </row>
    <row r="1291" spans="1:26" ht="18.75">
      <c r="A1291" s="1393"/>
      <c r="B1291" s="1393"/>
      <c r="C1291" s="1393"/>
      <c r="D1291" s="1506"/>
      <c r="E1291" s="1393"/>
      <c r="F1291" s="1393"/>
      <c r="G1291" s="1393"/>
      <c r="H1291" s="1507"/>
      <c r="I1291" s="1508"/>
      <c r="J1291" s="1508"/>
      <c r="K1291" s="1509"/>
      <c r="L1291" s="1509"/>
      <c r="M1291" s="1509"/>
      <c r="N1291" s="1509"/>
      <c r="O1291" s="1509"/>
      <c r="P1291" s="1509"/>
      <c r="Q1291" s="1314"/>
      <c r="R1291" s="1314"/>
      <c r="S1291" s="1314"/>
      <c r="T1291" s="1314"/>
      <c r="U1291" s="1314"/>
      <c r="V1291" s="1314"/>
      <c r="W1291" s="1314"/>
      <c r="X1291" s="1314"/>
      <c r="Y1291" s="1314"/>
      <c r="Z1291" s="1314"/>
    </row>
    <row r="1292" spans="1:26" ht="18.75">
      <c r="A1292" s="1393"/>
      <c r="B1292" s="1393"/>
      <c r="C1292" s="1393"/>
      <c r="D1292" s="1506"/>
      <c r="E1292" s="1393"/>
      <c r="F1292" s="1393"/>
      <c r="G1292" s="1393"/>
      <c r="H1292" s="1507"/>
      <c r="I1292" s="1508"/>
      <c r="J1292" s="1508"/>
      <c r="K1292" s="1509"/>
      <c r="L1292" s="1509"/>
      <c r="M1292" s="1509"/>
      <c r="N1292" s="1509"/>
      <c r="O1292" s="1509"/>
      <c r="P1292" s="1509"/>
      <c r="Q1292" s="1314"/>
      <c r="R1292" s="1314"/>
      <c r="S1292" s="1314"/>
      <c r="T1292" s="1314"/>
      <c r="U1292" s="1314"/>
      <c r="V1292" s="1314"/>
      <c r="W1292" s="1314"/>
      <c r="X1292" s="1314"/>
      <c r="Y1292" s="1314"/>
      <c r="Z1292" s="1314"/>
    </row>
    <row r="1293" spans="1:26" ht="18.75">
      <c r="A1293" s="1393"/>
      <c r="B1293" s="1393"/>
      <c r="C1293" s="1393"/>
      <c r="D1293" s="1506"/>
      <c r="E1293" s="1393"/>
      <c r="F1293" s="1393"/>
      <c r="G1293" s="1393"/>
      <c r="H1293" s="1507"/>
      <c r="I1293" s="1508"/>
      <c r="J1293" s="1508"/>
      <c r="K1293" s="1509"/>
      <c r="L1293" s="1509"/>
      <c r="M1293" s="1509"/>
      <c r="N1293" s="1509"/>
      <c r="O1293" s="1509"/>
      <c r="P1293" s="1509"/>
      <c r="Q1293" s="1314"/>
      <c r="R1293" s="1314"/>
      <c r="S1293" s="1314"/>
      <c r="T1293" s="1314"/>
      <c r="U1293" s="1314"/>
      <c r="V1293" s="1314"/>
      <c r="W1293" s="1314"/>
      <c r="X1293" s="1314"/>
      <c r="Y1293" s="1314"/>
      <c r="Z1293" s="1314"/>
    </row>
    <row r="1294" spans="1:26" ht="18.75">
      <c r="A1294" s="1393"/>
      <c r="B1294" s="1393"/>
      <c r="C1294" s="1393"/>
      <c r="D1294" s="1506"/>
      <c r="E1294" s="1393"/>
      <c r="F1294" s="1393"/>
      <c r="G1294" s="1393"/>
      <c r="H1294" s="1507"/>
      <c r="I1294" s="1508"/>
      <c r="J1294" s="1508"/>
      <c r="K1294" s="1509"/>
      <c r="L1294" s="1509"/>
      <c r="M1294" s="1509"/>
      <c r="N1294" s="1509"/>
      <c r="O1294" s="1509"/>
      <c r="P1294" s="1509"/>
      <c r="Q1294" s="1314"/>
      <c r="R1294" s="1314"/>
      <c r="S1294" s="1314"/>
      <c r="T1294" s="1314"/>
      <c r="U1294" s="1314"/>
      <c r="V1294" s="1314"/>
      <c r="W1294" s="1314"/>
      <c r="X1294" s="1314"/>
      <c r="Y1294" s="1314"/>
      <c r="Z1294" s="1314"/>
    </row>
    <row r="1295" spans="1:26" ht="18.75">
      <c r="A1295" s="1393"/>
      <c r="B1295" s="1393"/>
      <c r="C1295" s="1393"/>
      <c r="D1295" s="1506"/>
      <c r="E1295" s="1393"/>
      <c r="F1295" s="1393"/>
      <c r="G1295" s="1393"/>
      <c r="H1295" s="1507"/>
      <c r="I1295" s="1508"/>
      <c r="J1295" s="1508"/>
      <c r="K1295" s="1509"/>
      <c r="L1295" s="1509"/>
      <c r="M1295" s="1509"/>
      <c r="N1295" s="1509"/>
      <c r="O1295" s="1509"/>
      <c r="P1295" s="1509"/>
      <c r="Q1295" s="1314"/>
      <c r="R1295" s="1314"/>
      <c r="S1295" s="1314"/>
      <c r="T1295" s="1314"/>
      <c r="U1295" s="1314"/>
      <c r="V1295" s="1314"/>
      <c r="W1295" s="1314"/>
      <c r="X1295" s="1314"/>
      <c r="Y1295" s="1314"/>
      <c r="Z1295" s="1314"/>
    </row>
    <row r="1296" spans="1:26" ht="18.75">
      <c r="A1296" s="1393"/>
      <c r="B1296" s="1393"/>
      <c r="C1296" s="1393"/>
      <c r="D1296" s="1506"/>
      <c r="E1296" s="1393"/>
      <c r="F1296" s="1393"/>
      <c r="G1296" s="1393"/>
      <c r="H1296" s="1507"/>
      <c r="I1296" s="1508"/>
      <c r="J1296" s="1508"/>
      <c r="K1296" s="1509"/>
      <c r="L1296" s="1509"/>
      <c r="M1296" s="1509"/>
      <c r="N1296" s="1509"/>
      <c r="O1296" s="1509"/>
      <c r="P1296" s="1509"/>
      <c r="Q1296" s="1314"/>
      <c r="R1296" s="1314"/>
      <c r="S1296" s="1314"/>
      <c r="T1296" s="1314"/>
      <c r="U1296" s="1314"/>
      <c r="V1296" s="1314"/>
      <c r="W1296" s="1314"/>
      <c r="X1296" s="1314"/>
      <c r="Y1296" s="1314"/>
      <c r="Z1296" s="1314"/>
    </row>
    <row r="1297" spans="1:26" ht="18.75">
      <c r="A1297" s="1393"/>
      <c r="B1297" s="1393"/>
      <c r="C1297" s="1393"/>
      <c r="D1297" s="1506"/>
      <c r="E1297" s="1393"/>
      <c r="F1297" s="1393"/>
      <c r="G1297" s="1393"/>
      <c r="H1297" s="1507"/>
      <c r="I1297" s="1508"/>
      <c r="J1297" s="1508"/>
      <c r="K1297" s="1509"/>
      <c r="L1297" s="1509"/>
      <c r="M1297" s="1509"/>
      <c r="N1297" s="1509"/>
      <c r="O1297" s="1509"/>
      <c r="P1297" s="1509"/>
      <c r="Q1297" s="1314"/>
      <c r="R1297" s="1314"/>
      <c r="S1297" s="1314"/>
      <c r="T1297" s="1314"/>
      <c r="U1297" s="1314"/>
      <c r="V1297" s="1314"/>
      <c r="W1297" s="1314"/>
      <c r="X1297" s="1314"/>
      <c r="Y1297" s="1314"/>
      <c r="Z1297" s="1314"/>
    </row>
    <row r="1298" spans="1:26" ht="18.75">
      <c r="A1298" s="1393"/>
      <c r="B1298" s="1393"/>
      <c r="C1298" s="1393"/>
      <c r="D1298" s="1506"/>
      <c r="E1298" s="1393"/>
      <c r="F1298" s="1393"/>
      <c r="G1298" s="1393"/>
      <c r="H1298" s="1507"/>
      <c r="I1298" s="1508"/>
      <c r="J1298" s="1508"/>
      <c r="K1298" s="1509"/>
      <c r="L1298" s="1509"/>
      <c r="M1298" s="1509"/>
      <c r="N1298" s="1509"/>
      <c r="O1298" s="1509"/>
      <c r="P1298" s="1509"/>
      <c r="Q1298" s="1314"/>
      <c r="R1298" s="1314"/>
      <c r="S1298" s="1314"/>
      <c r="T1298" s="1314"/>
      <c r="U1298" s="1314"/>
      <c r="V1298" s="1314"/>
      <c r="W1298" s="1314"/>
      <c r="X1298" s="1314"/>
      <c r="Y1298" s="1314"/>
      <c r="Z1298" s="1314"/>
    </row>
    <row r="1299" spans="1:26" ht="18.75">
      <c r="A1299" s="1393"/>
      <c r="B1299" s="1393"/>
      <c r="C1299" s="1393"/>
      <c r="D1299" s="1506"/>
      <c r="E1299" s="1393"/>
      <c r="F1299" s="1393"/>
      <c r="G1299" s="1393"/>
      <c r="H1299" s="1507"/>
      <c r="I1299" s="1508"/>
      <c r="J1299" s="1508"/>
      <c r="K1299" s="1509"/>
      <c r="L1299" s="1509"/>
      <c r="M1299" s="1509"/>
      <c r="N1299" s="1509"/>
      <c r="O1299" s="1509"/>
      <c r="P1299" s="1509"/>
      <c r="Q1299" s="1314"/>
      <c r="R1299" s="1314"/>
      <c r="S1299" s="1314"/>
      <c r="T1299" s="1314"/>
      <c r="U1299" s="1314"/>
      <c r="V1299" s="1314"/>
      <c r="W1299" s="1314"/>
      <c r="X1299" s="1314"/>
      <c r="Y1299" s="1314"/>
      <c r="Z1299" s="1314"/>
    </row>
    <row r="1300" spans="1:26" ht="18.75">
      <c r="A1300" s="1393"/>
      <c r="B1300" s="1393"/>
      <c r="C1300" s="1393"/>
      <c r="D1300" s="1506"/>
      <c r="E1300" s="1393"/>
      <c r="F1300" s="1393"/>
      <c r="G1300" s="1393"/>
      <c r="H1300" s="1507"/>
      <c r="I1300" s="1508"/>
      <c r="J1300" s="1508"/>
      <c r="K1300" s="1509"/>
      <c r="L1300" s="1509"/>
      <c r="M1300" s="1509"/>
      <c r="N1300" s="1509"/>
      <c r="O1300" s="1509"/>
      <c r="P1300" s="1509"/>
      <c r="Q1300" s="1314"/>
      <c r="R1300" s="1314"/>
      <c r="S1300" s="1314"/>
      <c r="T1300" s="1314"/>
      <c r="U1300" s="1314"/>
      <c r="V1300" s="1314"/>
      <c r="W1300" s="1314"/>
      <c r="X1300" s="1314"/>
      <c r="Y1300" s="1314"/>
      <c r="Z1300" s="1314"/>
    </row>
    <row r="1301" spans="1:26" ht="18.75">
      <c r="A1301" s="1393"/>
      <c r="B1301" s="1393"/>
      <c r="C1301" s="1393"/>
      <c r="D1301" s="1506"/>
      <c r="E1301" s="1393"/>
      <c r="F1301" s="1393"/>
      <c r="G1301" s="1393"/>
      <c r="H1301" s="1507"/>
      <c r="I1301" s="1508"/>
      <c r="J1301" s="1508"/>
      <c r="K1301" s="1509"/>
      <c r="L1301" s="1509"/>
      <c r="M1301" s="1509"/>
      <c r="N1301" s="1509"/>
      <c r="O1301" s="1509"/>
      <c r="P1301" s="1509"/>
      <c r="Q1301" s="1314"/>
      <c r="R1301" s="1314"/>
      <c r="S1301" s="1314"/>
      <c r="T1301" s="1314"/>
      <c r="U1301" s="1314"/>
      <c r="V1301" s="1314"/>
      <c r="W1301" s="1314"/>
      <c r="X1301" s="1314"/>
      <c r="Y1301" s="1314"/>
      <c r="Z1301" s="1314"/>
    </row>
    <row r="1302" spans="1:26" ht="18.75">
      <c r="A1302" s="1393"/>
      <c r="B1302" s="1393"/>
      <c r="C1302" s="1393"/>
      <c r="D1302" s="1506"/>
      <c r="E1302" s="1393"/>
      <c r="F1302" s="1393"/>
      <c r="G1302" s="1393"/>
      <c r="H1302" s="1507"/>
      <c r="I1302" s="1508"/>
      <c r="J1302" s="1508"/>
      <c r="K1302" s="1509"/>
      <c r="L1302" s="1509"/>
      <c r="M1302" s="1509"/>
      <c r="N1302" s="1509"/>
      <c r="O1302" s="1509"/>
      <c r="P1302" s="1509"/>
      <c r="Q1302" s="1314"/>
      <c r="R1302" s="1314"/>
      <c r="S1302" s="1314"/>
      <c r="T1302" s="1314"/>
      <c r="U1302" s="1314"/>
      <c r="V1302" s="1314"/>
      <c r="W1302" s="1314"/>
      <c r="X1302" s="1314"/>
      <c r="Y1302" s="1314"/>
      <c r="Z1302" s="1314"/>
    </row>
    <row r="1303" spans="1:26" ht="18.75">
      <c r="A1303" s="1393"/>
      <c r="B1303" s="1393"/>
      <c r="C1303" s="1393"/>
      <c r="D1303" s="1506"/>
      <c r="E1303" s="1393"/>
      <c r="F1303" s="1393"/>
      <c r="G1303" s="1393"/>
      <c r="H1303" s="1507"/>
      <c r="I1303" s="1508"/>
      <c r="J1303" s="1508"/>
      <c r="K1303" s="1509"/>
      <c r="L1303" s="1509"/>
      <c r="M1303" s="1509"/>
      <c r="N1303" s="1509"/>
      <c r="O1303" s="1509"/>
      <c r="P1303" s="1509"/>
      <c r="Q1303" s="1314"/>
      <c r="R1303" s="1314"/>
      <c r="S1303" s="1314"/>
      <c r="T1303" s="1314"/>
      <c r="U1303" s="1314"/>
      <c r="V1303" s="1314"/>
      <c r="W1303" s="1314"/>
      <c r="X1303" s="1314"/>
      <c r="Y1303" s="1314"/>
      <c r="Z1303" s="1314"/>
    </row>
    <row r="1304" spans="1:26" ht="18.75">
      <c r="A1304" s="1393"/>
      <c r="B1304" s="1393"/>
      <c r="C1304" s="1393"/>
      <c r="D1304" s="1506"/>
      <c r="E1304" s="1393"/>
      <c r="F1304" s="1393"/>
      <c r="G1304" s="1393"/>
      <c r="H1304" s="1507"/>
      <c r="I1304" s="1508"/>
      <c r="J1304" s="1508"/>
      <c r="K1304" s="1509"/>
      <c r="L1304" s="1509"/>
      <c r="M1304" s="1509"/>
      <c r="N1304" s="1509"/>
      <c r="O1304" s="1509"/>
      <c r="P1304" s="1509"/>
      <c r="Q1304" s="1314"/>
      <c r="R1304" s="1314"/>
      <c r="S1304" s="1314"/>
      <c r="T1304" s="1314"/>
      <c r="U1304" s="1314"/>
      <c r="V1304" s="1314"/>
      <c r="W1304" s="1314"/>
      <c r="X1304" s="1314"/>
      <c r="Y1304" s="1314"/>
      <c r="Z1304" s="1314"/>
    </row>
    <row r="1305" spans="1:26" ht="18.75">
      <c r="A1305" s="1393"/>
      <c r="B1305" s="1393"/>
      <c r="C1305" s="1393"/>
      <c r="D1305" s="1506"/>
      <c r="E1305" s="1393"/>
      <c r="F1305" s="1393"/>
      <c r="G1305" s="1393"/>
      <c r="H1305" s="1507"/>
      <c r="I1305" s="1508"/>
      <c r="J1305" s="1508"/>
      <c r="K1305" s="1509"/>
      <c r="L1305" s="1509"/>
      <c r="M1305" s="1509"/>
      <c r="N1305" s="1509"/>
      <c r="O1305" s="1509"/>
      <c r="P1305" s="1509"/>
      <c r="Q1305" s="1314"/>
      <c r="R1305" s="1314"/>
      <c r="S1305" s="1314"/>
      <c r="T1305" s="1314"/>
      <c r="U1305" s="1314"/>
      <c r="V1305" s="1314"/>
      <c r="W1305" s="1314"/>
      <c r="X1305" s="1314"/>
      <c r="Y1305" s="1314"/>
      <c r="Z1305" s="1314"/>
    </row>
    <row r="1306" spans="1:26" ht="18.75">
      <c r="A1306" s="1393"/>
      <c r="B1306" s="1393"/>
      <c r="C1306" s="1393"/>
      <c r="D1306" s="1506"/>
      <c r="E1306" s="1393"/>
      <c r="F1306" s="1393"/>
      <c r="G1306" s="1393"/>
      <c r="H1306" s="1507"/>
      <c r="I1306" s="1508"/>
      <c r="J1306" s="1508"/>
      <c r="K1306" s="1509"/>
      <c r="L1306" s="1509"/>
      <c r="M1306" s="1509"/>
      <c r="N1306" s="1509"/>
      <c r="O1306" s="1509"/>
      <c r="P1306" s="1509"/>
      <c r="Q1306" s="1314"/>
      <c r="R1306" s="1314"/>
      <c r="S1306" s="1314"/>
      <c r="T1306" s="1314"/>
      <c r="U1306" s="1314"/>
      <c r="V1306" s="1314"/>
      <c r="W1306" s="1314"/>
      <c r="X1306" s="1314"/>
      <c r="Y1306" s="1314"/>
      <c r="Z1306" s="1314"/>
    </row>
    <row r="1307" spans="1:26" ht="18.75">
      <c r="A1307" s="1393"/>
      <c r="B1307" s="1393"/>
      <c r="C1307" s="1393"/>
      <c r="D1307" s="1506"/>
      <c r="E1307" s="1393"/>
      <c r="F1307" s="1393"/>
      <c r="G1307" s="1393"/>
      <c r="H1307" s="1507"/>
      <c r="I1307" s="1508"/>
      <c r="J1307" s="1508"/>
      <c r="K1307" s="1509"/>
      <c r="L1307" s="1509"/>
      <c r="M1307" s="1509"/>
      <c r="N1307" s="1509"/>
      <c r="O1307" s="1509"/>
      <c r="P1307" s="1509"/>
      <c r="Q1307" s="1314"/>
      <c r="R1307" s="1314"/>
      <c r="S1307" s="1314"/>
      <c r="T1307" s="1314"/>
      <c r="U1307" s="1314"/>
      <c r="V1307" s="1314"/>
      <c r="W1307" s="1314"/>
      <c r="X1307" s="1314"/>
      <c r="Y1307" s="1314"/>
      <c r="Z1307" s="1314"/>
    </row>
    <row r="1308" spans="1:26" ht="18.75">
      <c r="A1308" s="1393"/>
      <c r="B1308" s="1393"/>
      <c r="C1308" s="1393"/>
      <c r="D1308" s="1506"/>
      <c r="E1308" s="1393"/>
      <c r="F1308" s="1393"/>
      <c r="G1308" s="1393"/>
      <c r="H1308" s="1507"/>
      <c r="I1308" s="1508"/>
      <c r="J1308" s="1508"/>
      <c r="K1308" s="1509"/>
      <c r="L1308" s="1509"/>
      <c r="M1308" s="1509"/>
      <c r="N1308" s="1509"/>
      <c r="O1308" s="1509"/>
      <c r="P1308" s="1509"/>
      <c r="Q1308" s="1314"/>
      <c r="R1308" s="1314"/>
      <c r="S1308" s="1314"/>
      <c r="T1308" s="1314"/>
      <c r="U1308" s="1314"/>
      <c r="V1308" s="1314"/>
      <c r="W1308" s="1314"/>
      <c r="X1308" s="1314"/>
      <c r="Y1308" s="1314"/>
      <c r="Z1308" s="1314"/>
    </row>
    <row r="1309" spans="1:26" ht="18.75">
      <c r="A1309" s="1393"/>
      <c r="B1309" s="1393"/>
      <c r="C1309" s="1393"/>
      <c r="D1309" s="1506"/>
      <c r="E1309" s="1393"/>
      <c r="F1309" s="1393"/>
      <c r="G1309" s="1393"/>
      <c r="H1309" s="1507"/>
      <c r="I1309" s="1508"/>
      <c r="J1309" s="1508"/>
      <c r="K1309" s="1509"/>
      <c r="L1309" s="1509"/>
      <c r="M1309" s="1509"/>
      <c r="N1309" s="1509"/>
      <c r="O1309" s="1509"/>
      <c r="P1309" s="1509"/>
      <c r="Q1309" s="1314"/>
      <c r="R1309" s="1314"/>
      <c r="S1309" s="1314"/>
      <c r="T1309" s="1314"/>
      <c r="U1309" s="1314"/>
      <c r="V1309" s="1314"/>
      <c r="W1309" s="1314"/>
      <c r="X1309" s="1314"/>
      <c r="Y1309" s="1314"/>
      <c r="Z1309" s="1314"/>
    </row>
    <row r="1310" spans="1:26" ht="18.75">
      <c r="A1310" s="1393"/>
      <c r="B1310" s="1393"/>
      <c r="C1310" s="1393"/>
      <c r="D1310" s="1506"/>
      <c r="E1310" s="1393"/>
      <c r="F1310" s="1393"/>
      <c r="G1310" s="1393"/>
      <c r="H1310" s="1507"/>
      <c r="I1310" s="1508"/>
      <c r="J1310" s="1508"/>
      <c r="K1310" s="1509"/>
      <c r="L1310" s="1509"/>
      <c r="M1310" s="1509"/>
      <c r="N1310" s="1509"/>
      <c r="O1310" s="1509"/>
      <c r="P1310" s="1509"/>
      <c r="Q1310" s="1314"/>
      <c r="R1310" s="1314"/>
      <c r="S1310" s="1314"/>
      <c r="T1310" s="1314"/>
      <c r="U1310" s="1314"/>
      <c r="V1310" s="1314"/>
      <c r="W1310" s="1314"/>
      <c r="X1310" s="1314"/>
      <c r="Y1310" s="1314"/>
      <c r="Z1310" s="1314"/>
    </row>
    <row r="1311" spans="1:26" ht="18.75">
      <c r="A1311" s="1393"/>
      <c r="B1311" s="1393"/>
      <c r="C1311" s="1393"/>
      <c r="D1311" s="1506"/>
      <c r="E1311" s="1393"/>
      <c r="F1311" s="1393"/>
      <c r="G1311" s="1393"/>
      <c r="H1311" s="1507"/>
      <c r="I1311" s="1508"/>
      <c r="J1311" s="1508"/>
      <c r="K1311" s="1509"/>
      <c r="L1311" s="1509"/>
      <c r="M1311" s="1509"/>
      <c r="N1311" s="1509"/>
      <c r="O1311" s="1509"/>
      <c r="P1311" s="1509"/>
      <c r="Q1311" s="1314"/>
      <c r="R1311" s="1314"/>
      <c r="S1311" s="1314"/>
      <c r="T1311" s="1314"/>
      <c r="U1311" s="1314"/>
      <c r="V1311" s="1314"/>
      <c r="W1311" s="1314"/>
      <c r="X1311" s="1314"/>
      <c r="Y1311" s="1314"/>
      <c r="Z1311" s="1314"/>
    </row>
    <row r="1312" spans="1:26" ht="18.75">
      <c r="A1312" s="1393"/>
      <c r="B1312" s="1393"/>
      <c r="C1312" s="1393"/>
      <c r="D1312" s="1506"/>
      <c r="E1312" s="1393"/>
      <c r="F1312" s="1393"/>
      <c r="G1312" s="1393"/>
      <c r="H1312" s="1507"/>
      <c r="I1312" s="1508"/>
      <c r="J1312" s="1508"/>
      <c r="K1312" s="1509"/>
      <c r="L1312" s="1509"/>
      <c r="M1312" s="1509"/>
      <c r="N1312" s="1509"/>
      <c r="O1312" s="1509"/>
      <c r="P1312" s="1509"/>
      <c r="Q1312" s="1314"/>
      <c r="R1312" s="1314"/>
      <c r="S1312" s="1314"/>
      <c r="T1312" s="1314"/>
      <c r="U1312" s="1314"/>
      <c r="V1312" s="1314"/>
      <c r="W1312" s="1314"/>
      <c r="X1312" s="1314"/>
      <c r="Y1312" s="1314"/>
      <c r="Z1312" s="1314"/>
    </row>
    <row r="1313" spans="1:26" ht="18.75">
      <c r="A1313" s="1393"/>
      <c r="B1313" s="1393"/>
      <c r="C1313" s="1393"/>
      <c r="D1313" s="1506"/>
      <c r="E1313" s="1393"/>
      <c r="F1313" s="1393"/>
      <c r="G1313" s="1393"/>
      <c r="H1313" s="1507"/>
      <c r="I1313" s="1508"/>
      <c r="J1313" s="1508"/>
      <c r="K1313" s="1509"/>
      <c r="L1313" s="1509"/>
      <c r="M1313" s="1509"/>
      <c r="N1313" s="1509"/>
      <c r="O1313" s="1509"/>
      <c r="P1313" s="1509"/>
      <c r="Q1313" s="1314"/>
      <c r="R1313" s="1314"/>
      <c r="S1313" s="1314"/>
      <c r="T1313" s="1314"/>
      <c r="U1313" s="1314"/>
      <c r="V1313" s="1314"/>
      <c r="W1313" s="1314"/>
      <c r="X1313" s="1314"/>
      <c r="Y1313" s="1314"/>
      <c r="Z1313" s="1314"/>
    </row>
    <row r="1314" spans="1:26" ht="18.75">
      <c r="A1314" s="1393"/>
      <c r="B1314" s="1393"/>
      <c r="C1314" s="1393"/>
      <c r="D1314" s="1506"/>
      <c r="E1314" s="1393"/>
      <c r="F1314" s="1393"/>
      <c r="G1314" s="1393"/>
      <c r="H1314" s="1507"/>
      <c r="I1314" s="1508"/>
      <c r="J1314" s="1508"/>
      <c r="K1314" s="1509"/>
      <c r="L1314" s="1509"/>
      <c r="M1314" s="1509"/>
      <c r="N1314" s="1509"/>
      <c r="O1314" s="1509"/>
      <c r="P1314" s="1509"/>
      <c r="Q1314" s="1314"/>
      <c r="R1314" s="1314"/>
      <c r="S1314" s="1314"/>
      <c r="T1314" s="1314"/>
      <c r="U1314" s="1314"/>
      <c r="V1314" s="1314"/>
      <c r="W1314" s="1314"/>
      <c r="X1314" s="1314"/>
      <c r="Y1314" s="1314"/>
      <c r="Z1314" s="1314"/>
    </row>
    <row r="1315" spans="1:26" ht="18.75">
      <c r="A1315" s="1393"/>
      <c r="B1315" s="1393"/>
      <c r="C1315" s="1393"/>
      <c r="D1315" s="1506"/>
      <c r="E1315" s="1393"/>
      <c r="F1315" s="1393"/>
      <c r="G1315" s="1393"/>
      <c r="H1315" s="1507"/>
      <c r="I1315" s="1508"/>
      <c r="J1315" s="1508"/>
      <c r="K1315" s="1509"/>
      <c r="L1315" s="1509"/>
      <c r="M1315" s="1509"/>
      <c r="N1315" s="1509"/>
      <c r="O1315" s="1509"/>
      <c r="P1315" s="1509"/>
      <c r="Q1315" s="1314"/>
      <c r="R1315" s="1314"/>
      <c r="S1315" s="1314"/>
      <c r="T1315" s="1314"/>
      <c r="U1315" s="1314"/>
      <c r="V1315" s="1314"/>
      <c r="W1315" s="1314"/>
      <c r="X1315" s="1314"/>
      <c r="Y1315" s="1314"/>
      <c r="Z1315" s="1314"/>
    </row>
    <row r="1316" spans="1:26" ht="18.75">
      <c r="A1316" s="1393"/>
      <c r="B1316" s="1393"/>
      <c r="C1316" s="1393"/>
      <c r="D1316" s="1506"/>
      <c r="E1316" s="1393"/>
      <c r="F1316" s="1393"/>
      <c r="G1316" s="1393"/>
      <c r="H1316" s="1507"/>
      <c r="I1316" s="1508"/>
      <c r="J1316" s="1508"/>
      <c r="K1316" s="1509"/>
      <c r="L1316" s="1509"/>
      <c r="M1316" s="1509"/>
      <c r="N1316" s="1509"/>
      <c r="O1316" s="1509"/>
      <c r="P1316" s="1509"/>
      <c r="Q1316" s="1314"/>
      <c r="R1316" s="1314"/>
      <c r="S1316" s="1314"/>
      <c r="T1316" s="1314"/>
      <c r="U1316" s="1314"/>
      <c r="V1316" s="1314"/>
      <c r="W1316" s="1314"/>
      <c r="X1316" s="1314"/>
      <c r="Y1316" s="1314"/>
      <c r="Z1316" s="1314"/>
    </row>
    <row r="1317" spans="1:26" ht="18.75">
      <c r="A1317" s="1393"/>
      <c r="B1317" s="1393"/>
      <c r="C1317" s="1393"/>
      <c r="D1317" s="1506"/>
      <c r="E1317" s="1393"/>
      <c r="F1317" s="1393"/>
      <c r="G1317" s="1393"/>
      <c r="H1317" s="1507"/>
      <c r="I1317" s="1508"/>
      <c r="J1317" s="1508"/>
      <c r="K1317" s="1509"/>
      <c r="L1317" s="1509"/>
      <c r="M1317" s="1509"/>
      <c r="N1317" s="1509"/>
      <c r="O1317" s="1509"/>
      <c r="P1317" s="1509"/>
      <c r="Q1317" s="1314"/>
      <c r="R1317" s="1314"/>
      <c r="S1317" s="1314"/>
      <c r="T1317" s="1314"/>
      <c r="U1317" s="1314"/>
      <c r="V1317" s="1314"/>
      <c r="W1317" s="1314"/>
      <c r="X1317" s="1314"/>
      <c r="Y1317" s="1314"/>
      <c r="Z1317" s="1314"/>
    </row>
    <row r="1318" spans="1:26" ht="18.75">
      <c r="A1318" s="1393"/>
      <c r="B1318" s="1393"/>
      <c r="C1318" s="1393"/>
      <c r="D1318" s="1506"/>
      <c r="E1318" s="1393"/>
      <c r="F1318" s="1393"/>
      <c r="G1318" s="1393"/>
      <c r="H1318" s="1507"/>
      <c r="I1318" s="1508"/>
      <c r="J1318" s="1508"/>
      <c r="K1318" s="1509"/>
      <c r="L1318" s="1509"/>
      <c r="M1318" s="1509"/>
      <c r="N1318" s="1509"/>
      <c r="O1318" s="1509"/>
      <c r="P1318" s="1509"/>
      <c r="Q1318" s="1314"/>
      <c r="R1318" s="1314"/>
      <c r="S1318" s="1314"/>
      <c r="T1318" s="1314"/>
      <c r="U1318" s="1314"/>
      <c r="V1318" s="1314"/>
      <c r="W1318" s="1314"/>
      <c r="X1318" s="1314"/>
      <c r="Y1318" s="1314"/>
      <c r="Z1318" s="1314"/>
    </row>
    <row r="1319" spans="1:26" ht="18.75">
      <c r="A1319" s="1393"/>
      <c r="B1319" s="1393"/>
      <c r="C1319" s="1393"/>
      <c r="D1319" s="1506"/>
      <c r="E1319" s="1393"/>
      <c r="F1319" s="1393"/>
      <c r="G1319" s="1393"/>
      <c r="H1319" s="1507"/>
      <c r="I1319" s="1508"/>
      <c r="J1319" s="1508"/>
      <c r="K1319" s="1509"/>
      <c r="L1319" s="1509"/>
      <c r="M1319" s="1509"/>
      <c r="N1319" s="1509"/>
      <c r="O1319" s="1509"/>
      <c r="P1319" s="1509"/>
      <c r="Q1319" s="1314"/>
      <c r="R1319" s="1314"/>
      <c r="S1319" s="1314"/>
      <c r="T1319" s="1314"/>
      <c r="U1319" s="1314"/>
      <c r="V1319" s="1314"/>
      <c r="W1319" s="1314"/>
      <c r="X1319" s="1314"/>
      <c r="Y1319" s="1314"/>
      <c r="Z1319" s="1314"/>
    </row>
    <row r="1320" spans="1:26" ht="18.75">
      <c r="A1320" s="1393"/>
      <c r="B1320" s="1393"/>
      <c r="C1320" s="1393"/>
      <c r="D1320" s="1506"/>
      <c r="E1320" s="1393"/>
      <c r="F1320" s="1393"/>
      <c r="G1320" s="1393"/>
      <c r="H1320" s="1507"/>
      <c r="I1320" s="1508"/>
      <c r="J1320" s="1508"/>
      <c r="K1320" s="1509"/>
      <c r="L1320" s="1509"/>
      <c r="M1320" s="1509"/>
      <c r="N1320" s="1509"/>
      <c r="O1320" s="1509"/>
      <c r="P1320" s="1509"/>
      <c r="Q1320" s="1314"/>
      <c r="R1320" s="1314"/>
      <c r="S1320" s="1314"/>
      <c r="T1320" s="1314"/>
      <c r="U1320" s="1314"/>
      <c r="V1320" s="1314"/>
      <c r="W1320" s="1314"/>
      <c r="X1320" s="1314"/>
      <c r="Y1320" s="1314"/>
      <c r="Z1320" s="1314"/>
    </row>
    <row r="1321" spans="1:26" ht="18.75">
      <c r="A1321" s="1393"/>
      <c r="B1321" s="1393"/>
      <c r="C1321" s="1393"/>
      <c r="D1321" s="1506"/>
      <c r="E1321" s="1393"/>
      <c r="F1321" s="1393"/>
      <c r="G1321" s="1393"/>
      <c r="H1321" s="1507"/>
      <c r="I1321" s="1508"/>
      <c r="J1321" s="1508"/>
      <c r="K1321" s="1509"/>
      <c r="L1321" s="1509"/>
      <c r="M1321" s="1509"/>
      <c r="N1321" s="1509"/>
      <c r="O1321" s="1509"/>
      <c r="P1321" s="1509"/>
      <c r="Q1321" s="1314"/>
      <c r="R1321" s="1314"/>
      <c r="S1321" s="1314"/>
      <c r="T1321" s="1314"/>
      <c r="U1321" s="1314"/>
      <c r="V1321" s="1314"/>
      <c r="W1321" s="1314"/>
      <c r="X1321" s="1314"/>
      <c r="Y1321" s="1314"/>
      <c r="Z1321" s="1314"/>
    </row>
    <row r="1322" spans="1:26" ht="18.75">
      <c r="A1322" s="1393"/>
      <c r="B1322" s="1393"/>
      <c r="C1322" s="1393"/>
      <c r="D1322" s="1506"/>
      <c r="E1322" s="1393"/>
      <c r="F1322" s="1393"/>
      <c r="G1322" s="1393"/>
      <c r="H1322" s="1507"/>
      <c r="I1322" s="1508"/>
      <c r="J1322" s="1508"/>
      <c r="K1322" s="1509"/>
      <c r="L1322" s="1509"/>
      <c r="M1322" s="1509"/>
      <c r="N1322" s="1509"/>
      <c r="O1322" s="1509"/>
      <c r="P1322" s="1509"/>
      <c r="Q1322" s="1314"/>
      <c r="R1322" s="1314"/>
      <c r="S1322" s="1314"/>
      <c r="T1322" s="1314"/>
      <c r="U1322" s="1314"/>
      <c r="V1322" s="1314"/>
      <c r="W1322" s="1314"/>
      <c r="X1322" s="1314"/>
      <c r="Y1322" s="1314"/>
      <c r="Z1322" s="1314"/>
    </row>
    <row r="1323" spans="1:26" ht="18.75">
      <c r="A1323" s="1393"/>
      <c r="B1323" s="1393"/>
      <c r="C1323" s="1393"/>
      <c r="D1323" s="1506"/>
      <c r="E1323" s="1393"/>
      <c r="F1323" s="1393"/>
      <c r="G1323" s="1393"/>
      <c r="H1323" s="1507"/>
      <c r="I1323" s="1508"/>
      <c r="J1323" s="1508"/>
      <c r="K1323" s="1509"/>
      <c r="L1323" s="1509"/>
      <c r="M1323" s="1509"/>
      <c r="N1323" s="1509"/>
      <c r="O1323" s="1509"/>
      <c r="P1323" s="1509"/>
      <c r="Q1323" s="1314"/>
      <c r="R1323" s="1314"/>
      <c r="S1323" s="1314"/>
      <c r="T1323" s="1314"/>
      <c r="U1323" s="1314"/>
      <c r="V1323" s="1314"/>
      <c r="W1323" s="1314"/>
      <c r="X1323" s="1314"/>
      <c r="Y1323" s="1314"/>
      <c r="Z1323" s="1314"/>
    </row>
    <row r="1324" spans="1:26" ht="18.75">
      <c r="A1324" s="1393"/>
      <c r="B1324" s="1393"/>
      <c r="C1324" s="1393"/>
      <c r="D1324" s="1506"/>
      <c r="E1324" s="1393"/>
      <c r="F1324" s="1393"/>
      <c r="G1324" s="1393"/>
      <c r="H1324" s="1507"/>
      <c r="I1324" s="1508"/>
      <c r="J1324" s="1508"/>
      <c r="K1324" s="1509"/>
      <c r="L1324" s="1509"/>
      <c r="M1324" s="1509"/>
      <c r="N1324" s="1509"/>
      <c r="O1324" s="1509"/>
      <c r="P1324" s="1509"/>
      <c r="Q1324" s="1314"/>
      <c r="R1324" s="1314"/>
      <c r="S1324" s="1314"/>
      <c r="T1324" s="1314"/>
      <c r="U1324" s="1314"/>
      <c r="V1324" s="1314"/>
      <c r="W1324" s="1314"/>
      <c r="X1324" s="1314"/>
      <c r="Y1324" s="1314"/>
      <c r="Z1324" s="1314"/>
    </row>
    <row r="1325" spans="1:26" ht="18.75">
      <c r="A1325" s="1393"/>
      <c r="B1325" s="1393"/>
      <c r="C1325" s="1393"/>
      <c r="D1325" s="1506"/>
      <c r="E1325" s="1393"/>
      <c r="F1325" s="1393"/>
      <c r="G1325" s="1393"/>
      <c r="H1325" s="1507"/>
      <c r="I1325" s="1508"/>
      <c r="J1325" s="1508"/>
      <c r="K1325" s="1509"/>
      <c r="L1325" s="1509"/>
      <c r="M1325" s="1509"/>
      <c r="N1325" s="1509"/>
      <c r="O1325" s="1509"/>
      <c r="P1325" s="1509"/>
      <c r="Q1325" s="1314"/>
      <c r="R1325" s="1314"/>
      <c r="S1325" s="1314"/>
      <c r="T1325" s="1314"/>
      <c r="U1325" s="1314"/>
      <c r="V1325" s="1314"/>
      <c r="W1325" s="1314"/>
      <c r="X1325" s="1314"/>
      <c r="Y1325" s="1314"/>
      <c r="Z1325" s="1314"/>
    </row>
    <row r="1326" spans="1:26" ht="18.75">
      <c r="A1326" s="1393"/>
      <c r="B1326" s="1393"/>
      <c r="C1326" s="1393"/>
      <c r="D1326" s="1506"/>
      <c r="E1326" s="1393"/>
      <c r="F1326" s="1393"/>
      <c r="G1326" s="1393"/>
      <c r="H1326" s="1507"/>
      <c r="I1326" s="1508"/>
      <c r="J1326" s="1508"/>
      <c r="K1326" s="1509"/>
      <c r="L1326" s="1509"/>
      <c r="M1326" s="1509"/>
      <c r="N1326" s="1509"/>
      <c r="O1326" s="1509"/>
      <c r="P1326" s="1509"/>
      <c r="Q1326" s="1314"/>
      <c r="R1326" s="1314"/>
      <c r="S1326" s="1314"/>
      <c r="T1326" s="1314"/>
      <c r="U1326" s="1314"/>
      <c r="V1326" s="1314"/>
      <c r="W1326" s="1314"/>
      <c r="X1326" s="1314"/>
      <c r="Y1326" s="1314"/>
      <c r="Z1326" s="1314"/>
    </row>
    <row r="1327" spans="1:26" ht="18.75">
      <c r="A1327" s="1393"/>
      <c r="B1327" s="1393"/>
      <c r="C1327" s="1393"/>
      <c r="D1327" s="1506"/>
      <c r="E1327" s="1393"/>
      <c r="F1327" s="1393"/>
      <c r="G1327" s="1393"/>
      <c r="H1327" s="1507"/>
      <c r="I1327" s="1508"/>
      <c r="J1327" s="1508"/>
      <c r="K1327" s="1509"/>
      <c r="L1327" s="1509"/>
      <c r="M1327" s="1509"/>
      <c r="N1327" s="1509"/>
      <c r="O1327" s="1509"/>
      <c r="P1327" s="1509"/>
      <c r="Q1327" s="1314"/>
      <c r="R1327" s="1314"/>
      <c r="S1327" s="1314"/>
      <c r="T1327" s="1314"/>
      <c r="U1327" s="1314"/>
      <c r="V1327" s="1314"/>
      <c r="W1327" s="1314"/>
      <c r="X1327" s="1314"/>
      <c r="Y1327" s="1314"/>
      <c r="Z1327" s="1314"/>
    </row>
    <row r="1328" spans="1:26" ht="18.75">
      <c r="A1328" s="1393"/>
      <c r="B1328" s="1393"/>
      <c r="C1328" s="1393"/>
      <c r="D1328" s="1506"/>
      <c r="E1328" s="1393"/>
      <c r="F1328" s="1393"/>
      <c r="G1328" s="1393"/>
      <c r="H1328" s="1507"/>
      <c r="I1328" s="1508"/>
      <c r="J1328" s="1508"/>
      <c r="K1328" s="1509"/>
      <c r="L1328" s="1509"/>
      <c r="M1328" s="1509"/>
      <c r="N1328" s="1509"/>
      <c r="O1328" s="1509"/>
      <c r="P1328" s="1509"/>
      <c r="Q1328" s="1314"/>
      <c r="R1328" s="1314"/>
      <c r="S1328" s="1314"/>
      <c r="T1328" s="1314"/>
      <c r="U1328" s="1314"/>
      <c r="V1328" s="1314"/>
      <c r="W1328" s="1314"/>
      <c r="X1328" s="1314"/>
      <c r="Y1328" s="1314"/>
      <c r="Z1328" s="1314"/>
    </row>
    <row r="1329" spans="1:26" ht="18.75">
      <c r="A1329" s="1393"/>
      <c r="B1329" s="1393"/>
      <c r="C1329" s="1393"/>
      <c r="D1329" s="1506"/>
      <c r="E1329" s="1393"/>
      <c r="F1329" s="1393"/>
      <c r="G1329" s="1393"/>
      <c r="H1329" s="1507"/>
      <c r="I1329" s="1508"/>
      <c r="J1329" s="1508"/>
      <c r="K1329" s="1509"/>
      <c r="L1329" s="1509"/>
      <c r="M1329" s="1509"/>
      <c r="N1329" s="1509"/>
      <c r="O1329" s="1509"/>
      <c r="P1329" s="1509"/>
      <c r="Q1329" s="1314"/>
      <c r="R1329" s="1314"/>
      <c r="S1329" s="1314"/>
      <c r="T1329" s="1314"/>
      <c r="U1329" s="1314"/>
      <c r="V1329" s="1314"/>
      <c r="W1329" s="1314"/>
      <c r="X1329" s="1314"/>
      <c r="Y1329" s="1314"/>
      <c r="Z1329" s="1314"/>
    </row>
    <row r="1330" spans="1:26" ht="18.75">
      <c r="A1330" s="1393"/>
      <c r="B1330" s="1393"/>
      <c r="C1330" s="1393"/>
      <c r="D1330" s="1506"/>
      <c r="E1330" s="1393"/>
      <c r="F1330" s="1393"/>
      <c r="G1330" s="1393"/>
      <c r="H1330" s="1507"/>
      <c r="I1330" s="1508"/>
      <c r="J1330" s="1508"/>
      <c r="K1330" s="1509"/>
      <c r="L1330" s="1509"/>
      <c r="M1330" s="1509"/>
      <c r="N1330" s="1509"/>
      <c r="O1330" s="1509"/>
      <c r="P1330" s="1509"/>
      <c r="Q1330" s="1314"/>
      <c r="R1330" s="1314"/>
      <c r="S1330" s="1314"/>
      <c r="T1330" s="1314"/>
      <c r="U1330" s="1314"/>
      <c r="V1330" s="1314"/>
      <c r="W1330" s="1314"/>
      <c r="X1330" s="1314"/>
      <c r="Y1330" s="1314"/>
      <c r="Z1330" s="1314"/>
    </row>
    <row r="1331" spans="1:26" ht="18.75">
      <c r="A1331" s="1393"/>
      <c r="B1331" s="1393"/>
      <c r="C1331" s="1393"/>
      <c r="D1331" s="1506"/>
      <c r="E1331" s="1393"/>
      <c r="F1331" s="1393"/>
      <c r="G1331" s="1393"/>
      <c r="H1331" s="1507"/>
      <c r="I1331" s="1508"/>
      <c r="J1331" s="1508"/>
      <c r="K1331" s="1509"/>
      <c r="L1331" s="1509"/>
      <c r="M1331" s="1509"/>
      <c r="N1331" s="1509"/>
      <c r="O1331" s="1509"/>
      <c r="P1331" s="1509"/>
      <c r="Q1331" s="1314"/>
      <c r="R1331" s="1314"/>
      <c r="S1331" s="1314"/>
      <c r="T1331" s="1314"/>
      <c r="U1331" s="1314"/>
      <c r="V1331" s="1314"/>
      <c r="W1331" s="1314"/>
      <c r="X1331" s="1314"/>
      <c r="Y1331" s="1314"/>
      <c r="Z1331" s="1314"/>
    </row>
    <row r="1332" spans="1:26" ht="18.75">
      <c r="A1332" s="1393"/>
      <c r="B1332" s="1393"/>
      <c r="C1332" s="1393"/>
      <c r="D1332" s="1506"/>
      <c r="E1332" s="1393"/>
      <c r="F1332" s="1393"/>
      <c r="G1332" s="1393"/>
      <c r="H1332" s="1507"/>
      <c r="I1332" s="1508"/>
      <c r="J1332" s="1508"/>
      <c r="K1332" s="1509"/>
      <c r="L1332" s="1509"/>
      <c r="M1332" s="1509"/>
      <c r="N1332" s="1509"/>
      <c r="O1332" s="1509"/>
      <c r="P1332" s="1509"/>
      <c r="Q1332" s="1314"/>
      <c r="R1332" s="1314"/>
      <c r="S1332" s="1314"/>
      <c r="T1332" s="1314"/>
      <c r="U1332" s="1314"/>
      <c r="V1332" s="1314"/>
      <c r="W1332" s="1314"/>
      <c r="X1332" s="1314"/>
      <c r="Y1332" s="1314"/>
      <c r="Z1332" s="1314"/>
    </row>
    <row r="1333" spans="1:26" ht="18.75">
      <c r="A1333" s="1393"/>
      <c r="B1333" s="1393"/>
      <c r="C1333" s="1393"/>
      <c r="D1333" s="1506"/>
      <c r="E1333" s="1393"/>
      <c r="F1333" s="1393"/>
      <c r="G1333" s="1393"/>
      <c r="H1333" s="1507"/>
      <c r="I1333" s="1508"/>
      <c r="J1333" s="1508"/>
      <c r="K1333" s="1509"/>
      <c r="L1333" s="1509"/>
      <c r="M1333" s="1509"/>
      <c r="N1333" s="1509"/>
      <c r="O1333" s="1509"/>
      <c r="P1333" s="1509"/>
      <c r="Q1333" s="1314"/>
      <c r="R1333" s="1314"/>
      <c r="S1333" s="1314"/>
      <c r="T1333" s="1314"/>
      <c r="U1333" s="1314"/>
      <c r="V1333" s="1314"/>
      <c r="W1333" s="1314"/>
      <c r="X1333" s="1314"/>
      <c r="Y1333" s="1314"/>
      <c r="Z1333" s="1314"/>
    </row>
    <row r="1334" spans="1:26" ht="18.75">
      <c r="A1334" s="1393"/>
      <c r="B1334" s="1393"/>
      <c r="C1334" s="1393"/>
      <c r="D1334" s="1506"/>
      <c r="E1334" s="1393"/>
      <c r="F1334" s="1393"/>
      <c r="G1334" s="1393"/>
      <c r="H1334" s="1507"/>
      <c r="I1334" s="1508"/>
      <c r="J1334" s="1508"/>
      <c r="K1334" s="1509"/>
      <c r="L1334" s="1509"/>
      <c r="M1334" s="1509"/>
      <c r="N1334" s="1509"/>
      <c r="O1334" s="1509"/>
      <c r="P1334" s="1509"/>
      <c r="Q1334" s="1314"/>
      <c r="R1334" s="1314"/>
      <c r="S1334" s="1314"/>
      <c r="T1334" s="1314"/>
      <c r="U1334" s="1314"/>
      <c r="V1334" s="1314"/>
      <c r="W1334" s="1314"/>
      <c r="X1334" s="1314"/>
      <c r="Y1334" s="1314"/>
      <c r="Z1334" s="1314"/>
    </row>
    <row r="1335" spans="1:26" ht="18.75">
      <c r="A1335" s="1393"/>
      <c r="B1335" s="1393"/>
      <c r="C1335" s="1393"/>
      <c r="D1335" s="1506"/>
      <c r="E1335" s="1393"/>
      <c r="F1335" s="1393"/>
      <c r="G1335" s="1393"/>
      <c r="H1335" s="1507"/>
      <c r="I1335" s="1508"/>
      <c r="J1335" s="1508"/>
      <c r="K1335" s="1509"/>
      <c r="L1335" s="1509"/>
      <c r="M1335" s="1509"/>
      <c r="N1335" s="1509"/>
      <c r="O1335" s="1509"/>
      <c r="P1335" s="1509"/>
      <c r="Q1335" s="1314"/>
      <c r="R1335" s="1314"/>
      <c r="S1335" s="1314"/>
      <c r="T1335" s="1314"/>
      <c r="U1335" s="1314"/>
      <c r="V1335" s="1314"/>
      <c r="W1335" s="1314"/>
      <c r="X1335" s="1314"/>
      <c r="Y1335" s="1314"/>
      <c r="Z1335" s="1314"/>
    </row>
    <row r="1336" spans="1:26" ht="18.75">
      <c r="A1336" s="1393"/>
      <c r="B1336" s="1393"/>
      <c r="C1336" s="1393"/>
      <c r="D1336" s="1506"/>
      <c r="E1336" s="1393"/>
      <c r="F1336" s="1393"/>
      <c r="G1336" s="1393"/>
      <c r="H1336" s="1507"/>
      <c r="I1336" s="1508"/>
      <c r="J1336" s="1508"/>
      <c r="K1336" s="1509"/>
      <c r="L1336" s="1509"/>
      <c r="M1336" s="1509"/>
      <c r="N1336" s="1509"/>
      <c r="O1336" s="1509"/>
      <c r="P1336" s="1509"/>
      <c r="Q1336" s="1314"/>
      <c r="R1336" s="1314"/>
      <c r="S1336" s="1314"/>
      <c r="T1336" s="1314"/>
      <c r="U1336" s="1314"/>
      <c r="V1336" s="1314"/>
      <c r="W1336" s="1314"/>
      <c r="X1336" s="1314"/>
      <c r="Y1336" s="1314"/>
      <c r="Z1336" s="1314"/>
    </row>
    <row r="1337" spans="1:26" ht="18.75">
      <c r="A1337" s="1393"/>
      <c r="B1337" s="1393"/>
      <c r="C1337" s="1393"/>
      <c r="D1337" s="1506"/>
      <c r="E1337" s="1393"/>
      <c r="F1337" s="1393"/>
      <c r="G1337" s="1393"/>
      <c r="H1337" s="1507"/>
      <c r="I1337" s="1508"/>
      <c r="J1337" s="1508"/>
      <c r="K1337" s="1509"/>
      <c r="L1337" s="1509"/>
      <c r="M1337" s="1509"/>
      <c r="N1337" s="1509"/>
      <c r="O1337" s="1509"/>
      <c r="P1337" s="1509"/>
      <c r="Q1337" s="1314"/>
      <c r="R1337" s="1314"/>
      <c r="S1337" s="1314"/>
      <c r="T1337" s="1314"/>
      <c r="U1337" s="1314"/>
      <c r="V1337" s="1314"/>
      <c r="W1337" s="1314"/>
      <c r="X1337" s="1314"/>
      <c r="Y1337" s="1314"/>
      <c r="Z1337" s="1314"/>
    </row>
    <row r="1338" spans="1:26" ht="18.75">
      <c r="A1338" s="1393"/>
      <c r="B1338" s="1393"/>
      <c r="C1338" s="1393"/>
      <c r="D1338" s="1506"/>
      <c r="E1338" s="1393"/>
      <c r="F1338" s="1393"/>
      <c r="G1338" s="1393"/>
      <c r="H1338" s="1507"/>
      <c r="I1338" s="1508"/>
      <c r="J1338" s="1508"/>
      <c r="K1338" s="1509"/>
      <c r="L1338" s="1509"/>
      <c r="M1338" s="1509"/>
      <c r="N1338" s="1509"/>
      <c r="O1338" s="1509"/>
      <c r="P1338" s="1509"/>
      <c r="Q1338" s="1314"/>
      <c r="R1338" s="1314"/>
      <c r="S1338" s="1314"/>
      <c r="T1338" s="1314"/>
      <c r="U1338" s="1314"/>
      <c r="V1338" s="1314"/>
      <c r="W1338" s="1314"/>
      <c r="X1338" s="1314"/>
      <c r="Y1338" s="1314"/>
      <c r="Z1338" s="1314"/>
    </row>
    <row r="1339" spans="1:26" ht="18.75">
      <c r="A1339" s="1393"/>
      <c r="B1339" s="1393"/>
      <c r="C1339" s="1393"/>
      <c r="D1339" s="1506"/>
      <c r="E1339" s="1393"/>
      <c r="F1339" s="1393"/>
      <c r="G1339" s="1393"/>
      <c r="H1339" s="1507"/>
      <c r="I1339" s="1508"/>
      <c r="J1339" s="1508"/>
      <c r="K1339" s="1509"/>
      <c r="L1339" s="1509"/>
      <c r="M1339" s="1509"/>
      <c r="N1339" s="1509"/>
      <c r="O1339" s="1509"/>
      <c r="P1339" s="1509"/>
      <c r="Q1339" s="1314"/>
      <c r="R1339" s="1314"/>
      <c r="S1339" s="1314"/>
      <c r="T1339" s="1314"/>
      <c r="U1339" s="1314"/>
      <c r="V1339" s="1314"/>
      <c r="W1339" s="1314"/>
      <c r="X1339" s="1314"/>
      <c r="Y1339" s="1314"/>
      <c r="Z1339" s="1314"/>
    </row>
    <row r="1340" spans="1:26" ht="18.75">
      <c r="A1340" s="1393"/>
      <c r="B1340" s="1393"/>
      <c r="C1340" s="1393"/>
      <c r="D1340" s="1506"/>
      <c r="E1340" s="1393"/>
      <c r="F1340" s="1393"/>
      <c r="G1340" s="1393"/>
      <c r="H1340" s="1507"/>
      <c r="I1340" s="1508"/>
      <c r="J1340" s="1508"/>
      <c r="K1340" s="1509"/>
      <c r="L1340" s="1509"/>
      <c r="M1340" s="1509"/>
      <c r="N1340" s="1509"/>
      <c r="O1340" s="1509"/>
      <c r="P1340" s="1509"/>
      <c r="Q1340" s="1314"/>
      <c r="R1340" s="1314"/>
      <c r="S1340" s="1314"/>
      <c r="T1340" s="1314"/>
      <c r="U1340" s="1314"/>
      <c r="V1340" s="1314"/>
      <c r="W1340" s="1314"/>
      <c r="X1340" s="1314"/>
      <c r="Y1340" s="1314"/>
      <c r="Z1340" s="1314"/>
    </row>
    <row r="1341" spans="1:26" ht="18.75">
      <c r="A1341" s="1393"/>
      <c r="B1341" s="1393"/>
      <c r="C1341" s="1393"/>
      <c r="D1341" s="1506"/>
      <c r="E1341" s="1393"/>
      <c r="F1341" s="1393"/>
      <c r="G1341" s="1393"/>
      <c r="H1341" s="1507"/>
      <c r="I1341" s="1508"/>
      <c r="J1341" s="1508"/>
      <c r="K1341" s="1509"/>
      <c r="L1341" s="1509"/>
      <c r="M1341" s="1509"/>
      <c r="N1341" s="1509"/>
      <c r="O1341" s="1509"/>
      <c r="P1341" s="1509"/>
      <c r="Q1341" s="1314"/>
      <c r="R1341" s="1314"/>
      <c r="S1341" s="1314"/>
      <c r="T1341" s="1314"/>
      <c r="U1341" s="1314"/>
      <c r="V1341" s="1314"/>
      <c r="W1341" s="1314"/>
      <c r="X1341" s="1314"/>
      <c r="Y1341" s="1314"/>
      <c r="Z1341" s="1314"/>
    </row>
    <row r="1342" spans="1:26" ht="18.75">
      <c r="A1342" s="1393"/>
      <c r="B1342" s="1393"/>
      <c r="C1342" s="1393"/>
      <c r="D1342" s="1506"/>
      <c r="E1342" s="1393"/>
      <c r="F1342" s="1393"/>
      <c r="G1342" s="1393"/>
      <c r="H1342" s="1507"/>
      <c r="I1342" s="1508"/>
      <c r="J1342" s="1508"/>
      <c r="K1342" s="1509"/>
      <c r="L1342" s="1509"/>
      <c r="M1342" s="1509"/>
      <c r="N1342" s="1509"/>
      <c r="O1342" s="1509"/>
      <c r="P1342" s="1509"/>
      <c r="Q1342" s="1314"/>
      <c r="R1342" s="1314"/>
      <c r="S1342" s="1314"/>
      <c r="T1342" s="1314"/>
      <c r="U1342" s="1314"/>
      <c r="V1342" s="1314"/>
      <c r="W1342" s="1314"/>
      <c r="X1342" s="1314"/>
      <c r="Y1342" s="1314"/>
      <c r="Z1342" s="1314"/>
    </row>
    <row r="1343" spans="1:26" ht="18.75">
      <c r="A1343" s="1393"/>
      <c r="B1343" s="1393"/>
      <c r="C1343" s="1393"/>
      <c r="D1343" s="1506"/>
      <c r="E1343" s="1393"/>
      <c r="F1343" s="1393"/>
      <c r="G1343" s="1393"/>
      <c r="H1343" s="1507"/>
      <c r="I1343" s="1508"/>
      <c r="J1343" s="1508"/>
      <c r="K1343" s="1509"/>
      <c r="L1343" s="1509"/>
      <c r="M1343" s="1509"/>
      <c r="N1343" s="1509"/>
      <c r="O1343" s="1509"/>
      <c r="P1343" s="1509"/>
      <c r="Q1343" s="1314"/>
      <c r="R1343" s="1314"/>
      <c r="S1343" s="1314"/>
      <c r="T1343" s="1314"/>
      <c r="U1343" s="1314"/>
      <c r="V1343" s="1314"/>
      <c r="W1343" s="1314"/>
      <c r="X1343" s="1314"/>
      <c r="Y1343" s="1314"/>
      <c r="Z1343" s="1314"/>
    </row>
    <row r="1344" spans="1:26" ht="18.75">
      <c r="A1344" s="1393"/>
      <c r="B1344" s="1393"/>
      <c r="C1344" s="1393"/>
      <c r="D1344" s="1506"/>
      <c r="E1344" s="1393"/>
      <c r="F1344" s="1393"/>
      <c r="G1344" s="1393"/>
      <c r="H1344" s="1507"/>
      <c r="I1344" s="1508"/>
      <c r="J1344" s="1508"/>
      <c r="K1344" s="1509"/>
      <c r="L1344" s="1509"/>
      <c r="M1344" s="1509"/>
      <c r="N1344" s="1509"/>
      <c r="O1344" s="1509"/>
      <c r="P1344" s="1509"/>
      <c r="Q1344" s="1314"/>
      <c r="R1344" s="1314"/>
      <c r="S1344" s="1314"/>
      <c r="T1344" s="1314"/>
      <c r="U1344" s="1314"/>
      <c r="V1344" s="1314"/>
      <c r="W1344" s="1314"/>
      <c r="X1344" s="1314"/>
      <c r="Y1344" s="1314"/>
      <c r="Z1344" s="1314"/>
    </row>
    <row r="1345" spans="1:26" ht="18.75">
      <c r="A1345" s="1393"/>
      <c r="B1345" s="1393"/>
      <c r="C1345" s="1393"/>
      <c r="D1345" s="1506"/>
      <c r="E1345" s="1393"/>
      <c r="F1345" s="1393"/>
      <c r="G1345" s="1393"/>
      <c r="H1345" s="1507"/>
      <c r="I1345" s="1508"/>
      <c r="J1345" s="1508"/>
      <c r="K1345" s="1509"/>
      <c r="L1345" s="1509"/>
      <c r="M1345" s="1509"/>
      <c r="N1345" s="1509"/>
      <c r="O1345" s="1509"/>
      <c r="P1345" s="1509"/>
      <c r="Q1345" s="1314"/>
      <c r="R1345" s="1314"/>
      <c r="S1345" s="1314"/>
      <c r="T1345" s="1314"/>
      <c r="U1345" s="1314"/>
      <c r="V1345" s="1314"/>
      <c r="W1345" s="1314"/>
      <c r="X1345" s="1314"/>
      <c r="Y1345" s="1314"/>
      <c r="Z1345" s="1314"/>
    </row>
    <row r="1346" spans="1:26" ht="18.75">
      <c r="A1346" s="1393"/>
      <c r="B1346" s="1393"/>
      <c r="C1346" s="1393"/>
      <c r="D1346" s="1506"/>
      <c r="E1346" s="1393"/>
      <c r="F1346" s="1393"/>
      <c r="G1346" s="1393"/>
      <c r="H1346" s="1507"/>
      <c r="I1346" s="1508"/>
      <c r="J1346" s="1508"/>
      <c r="K1346" s="1509"/>
      <c r="L1346" s="1509"/>
      <c r="M1346" s="1509"/>
      <c r="N1346" s="1509"/>
      <c r="O1346" s="1509"/>
      <c r="P1346" s="1509"/>
      <c r="Q1346" s="1314"/>
      <c r="R1346" s="1314"/>
      <c r="S1346" s="1314"/>
      <c r="T1346" s="1314"/>
      <c r="U1346" s="1314"/>
      <c r="V1346" s="1314"/>
      <c r="W1346" s="1314"/>
      <c r="X1346" s="1314"/>
      <c r="Y1346" s="1314"/>
      <c r="Z1346" s="1314"/>
    </row>
    <row r="1347" spans="1:26" ht="18.75">
      <c r="A1347" s="1393"/>
      <c r="B1347" s="1393"/>
      <c r="C1347" s="1393"/>
      <c r="D1347" s="1506"/>
      <c r="E1347" s="1393"/>
      <c r="F1347" s="1393"/>
      <c r="G1347" s="1393"/>
      <c r="H1347" s="1507"/>
      <c r="I1347" s="1508"/>
      <c r="J1347" s="1508"/>
      <c r="K1347" s="1509"/>
      <c r="L1347" s="1509"/>
      <c r="M1347" s="1509"/>
      <c r="N1347" s="1509"/>
      <c r="O1347" s="1509"/>
      <c r="P1347" s="1509"/>
      <c r="Q1347" s="1314"/>
      <c r="R1347" s="1314"/>
      <c r="S1347" s="1314"/>
      <c r="T1347" s="1314"/>
      <c r="U1347" s="1314"/>
      <c r="V1347" s="1314"/>
      <c r="W1347" s="1314"/>
      <c r="X1347" s="1314"/>
      <c r="Y1347" s="1314"/>
      <c r="Z1347" s="1314"/>
    </row>
    <row r="1348" spans="1:26" ht="18.75">
      <c r="A1348" s="1393"/>
      <c r="B1348" s="1393"/>
      <c r="C1348" s="1393"/>
      <c r="D1348" s="1506"/>
      <c r="E1348" s="1393"/>
      <c r="F1348" s="1393"/>
      <c r="G1348" s="1393"/>
      <c r="H1348" s="1507"/>
      <c r="I1348" s="1508"/>
      <c r="J1348" s="1508"/>
      <c r="K1348" s="1509"/>
      <c r="L1348" s="1509"/>
      <c r="M1348" s="1509"/>
      <c r="N1348" s="1509"/>
      <c r="O1348" s="1509"/>
      <c r="P1348" s="1509"/>
      <c r="Q1348" s="1314"/>
      <c r="R1348" s="1314"/>
      <c r="S1348" s="1314"/>
      <c r="T1348" s="1314"/>
      <c r="U1348" s="1314"/>
      <c r="V1348" s="1314"/>
      <c r="W1348" s="1314"/>
      <c r="X1348" s="1314"/>
      <c r="Y1348" s="1314"/>
      <c r="Z1348" s="1314"/>
    </row>
    <row r="1349" spans="1:26" ht="18.75">
      <c r="A1349" s="1393"/>
      <c r="B1349" s="1393"/>
      <c r="C1349" s="1393"/>
      <c r="D1349" s="1506"/>
      <c r="E1349" s="1393"/>
      <c r="F1349" s="1393"/>
      <c r="G1349" s="1393"/>
      <c r="H1349" s="1507"/>
      <c r="I1349" s="1508"/>
      <c r="J1349" s="1508"/>
      <c r="K1349" s="1509"/>
      <c r="L1349" s="1509"/>
      <c r="M1349" s="1509"/>
      <c r="N1349" s="1509"/>
      <c r="O1349" s="1509"/>
      <c r="P1349" s="1509"/>
      <c r="Q1349" s="1314"/>
      <c r="R1349" s="1314"/>
      <c r="S1349" s="1314"/>
      <c r="T1349" s="1314"/>
      <c r="U1349" s="1314"/>
      <c r="V1349" s="1314"/>
      <c r="W1349" s="1314"/>
      <c r="X1349" s="1314"/>
      <c r="Y1349" s="1314"/>
      <c r="Z1349" s="1314"/>
    </row>
    <row r="1350" spans="1:26" ht="18.75">
      <c r="A1350" s="1393"/>
      <c r="B1350" s="1393"/>
      <c r="C1350" s="1393"/>
      <c r="D1350" s="1506"/>
      <c r="E1350" s="1393"/>
      <c r="F1350" s="1393"/>
      <c r="G1350" s="1393"/>
      <c r="H1350" s="1507"/>
      <c r="I1350" s="1508"/>
      <c r="J1350" s="1508"/>
      <c r="K1350" s="1509"/>
      <c r="L1350" s="1509"/>
      <c r="M1350" s="1509"/>
      <c r="N1350" s="1509"/>
      <c r="O1350" s="1509"/>
      <c r="P1350" s="1509"/>
      <c r="Q1350" s="1314"/>
      <c r="R1350" s="1314"/>
      <c r="S1350" s="1314"/>
      <c r="T1350" s="1314"/>
      <c r="U1350" s="1314"/>
      <c r="V1350" s="1314"/>
      <c r="W1350" s="1314"/>
      <c r="X1350" s="1314"/>
      <c r="Y1350" s="1314"/>
      <c r="Z1350" s="1314"/>
    </row>
    <row r="1351" spans="1:26" ht="18.75">
      <c r="A1351" s="1393"/>
      <c r="B1351" s="1393"/>
      <c r="C1351" s="1393"/>
      <c r="D1351" s="1506"/>
      <c r="E1351" s="1393"/>
      <c r="F1351" s="1393"/>
      <c r="G1351" s="1393"/>
      <c r="H1351" s="1507"/>
      <c r="I1351" s="1508"/>
      <c r="J1351" s="1508"/>
      <c r="K1351" s="1509"/>
      <c r="L1351" s="1509"/>
      <c r="M1351" s="1509"/>
      <c r="N1351" s="1509"/>
      <c r="O1351" s="1509"/>
      <c r="P1351" s="1509"/>
      <c r="Q1351" s="1314"/>
      <c r="R1351" s="1314"/>
      <c r="S1351" s="1314"/>
      <c r="T1351" s="1314"/>
      <c r="U1351" s="1314"/>
      <c r="V1351" s="1314"/>
      <c r="W1351" s="1314"/>
      <c r="X1351" s="1314"/>
      <c r="Y1351" s="1314"/>
      <c r="Z1351" s="1314"/>
    </row>
    <row r="1352" spans="1:26" ht="18.75">
      <c r="A1352" s="1393"/>
      <c r="B1352" s="1393"/>
      <c r="C1352" s="1393"/>
      <c r="D1352" s="1506"/>
      <c r="E1352" s="1393"/>
      <c r="F1352" s="1393"/>
      <c r="G1352" s="1393"/>
      <c r="H1352" s="1507"/>
      <c r="I1352" s="1508"/>
      <c r="J1352" s="1508"/>
      <c r="K1352" s="1509"/>
      <c r="L1352" s="1509"/>
      <c r="M1352" s="1509"/>
      <c r="N1352" s="1509"/>
      <c r="O1352" s="1509"/>
      <c r="P1352" s="1509"/>
      <c r="Q1352" s="1314"/>
      <c r="R1352" s="1314"/>
      <c r="S1352" s="1314"/>
      <c r="T1352" s="1314"/>
      <c r="U1352" s="1314"/>
      <c r="V1352" s="1314"/>
      <c r="W1352" s="1314"/>
      <c r="X1352" s="1314"/>
      <c r="Y1352" s="1314"/>
      <c r="Z1352" s="1314"/>
    </row>
    <row r="1353" spans="1:26" ht="18.75">
      <c r="A1353" s="1393"/>
      <c r="B1353" s="1393"/>
      <c r="C1353" s="1393"/>
      <c r="D1353" s="1506"/>
      <c r="E1353" s="1393"/>
      <c r="F1353" s="1393"/>
      <c r="G1353" s="1393"/>
      <c r="H1353" s="1507"/>
      <c r="I1353" s="1508"/>
      <c r="J1353" s="1508"/>
      <c r="K1353" s="1509"/>
      <c r="L1353" s="1509"/>
      <c r="M1353" s="1509"/>
      <c r="N1353" s="1509"/>
      <c r="O1353" s="1509"/>
      <c r="P1353" s="1509"/>
      <c r="Q1353" s="1314"/>
      <c r="R1353" s="1314"/>
      <c r="S1353" s="1314"/>
      <c r="T1353" s="1314"/>
      <c r="U1353" s="1314"/>
      <c r="V1353" s="1314"/>
      <c r="W1353" s="1314"/>
      <c r="X1353" s="1314"/>
      <c r="Y1353" s="1314"/>
      <c r="Z1353" s="1314"/>
    </row>
    <row r="1354" spans="1:26" ht="18.75">
      <c r="A1354" s="1393"/>
      <c r="B1354" s="1393"/>
      <c r="C1354" s="1393"/>
      <c r="D1354" s="1506"/>
      <c r="E1354" s="1393"/>
      <c r="F1354" s="1393"/>
      <c r="G1354" s="1393"/>
      <c r="H1354" s="1507"/>
      <c r="I1354" s="1508"/>
      <c r="J1354" s="1508"/>
      <c r="K1354" s="1509"/>
      <c r="L1354" s="1509"/>
      <c r="M1354" s="1509"/>
      <c r="N1354" s="1509"/>
      <c r="O1354" s="1509"/>
      <c r="P1354" s="1509"/>
      <c r="Q1354" s="1314"/>
      <c r="R1354" s="1314"/>
      <c r="S1354" s="1314"/>
      <c r="T1354" s="1314"/>
      <c r="U1354" s="1314"/>
      <c r="V1354" s="1314"/>
      <c r="W1354" s="1314"/>
      <c r="X1354" s="1314"/>
      <c r="Y1354" s="1314"/>
      <c r="Z1354" s="1314"/>
    </row>
    <row r="1355" spans="1:26" ht="18.75">
      <c r="A1355" s="1393"/>
      <c r="B1355" s="1393"/>
      <c r="C1355" s="1393"/>
      <c r="D1355" s="1506"/>
      <c r="E1355" s="1393"/>
      <c r="F1355" s="1393"/>
      <c r="G1355" s="1393"/>
      <c r="H1355" s="1507"/>
      <c r="I1355" s="1508"/>
      <c r="J1355" s="1508"/>
      <c r="K1355" s="1509"/>
      <c r="L1355" s="1509"/>
      <c r="M1355" s="1509"/>
      <c r="N1355" s="1509"/>
      <c r="O1355" s="1509"/>
      <c r="P1355" s="1509"/>
      <c r="Q1355" s="1314"/>
      <c r="R1355" s="1314"/>
      <c r="S1355" s="1314"/>
      <c r="T1355" s="1314"/>
      <c r="U1355" s="1314"/>
      <c r="V1355" s="1314"/>
      <c r="W1355" s="1314"/>
      <c r="X1355" s="1314"/>
      <c r="Y1355" s="1314"/>
      <c r="Z1355" s="1314"/>
    </row>
    <row r="1356" spans="1:26" ht="18.75">
      <c r="A1356" s="1393"/>
      <c r="B1356" s="1393"/>
      <c r="C1356" s="1393"/>
      <c r="D1356" s="1506"/>
      <c r="E1356" s="1393"/>
      <c r="F1356" s="1393"/>
      <c r="G1356" s="1393"/>
      <c r="H1356" s="1507"/>
      <c r="I1356" s="1508"/>
      <c r="J1356" s="1508"/>
      <c r="K1356" s="1509"/>
      <c r="L1356" s="1509"/>
      <c r="M1356" s="1509"/>
      <c r="N1356" s="1509"/>
      <c r="O1356" s="1509"/>
      <c r="P1356" s="1509"/>
      <c r="Q1356" s="1314"/>
      <c r="R1356" s="1314"/>
      <c r="S1356" s="1314"/>
      <c r="T1356" s="1314"/>
      <c r="U1356" s="1314"/>
      <c r="V1356" s="1314"/>
      <c r="W1356" s="1314"/>
      <c r="X1356" s="1314"/>
      <c r="Y1356" s="1314"/>
      <c r="Z1356" s="1314"/>
    </row>
    <row r="1357" spans="1:26" ht="18.75">
      <c r="A1357" s="1393"/>
      <c r="B1357" s="1393"/>
      <c r="C1357" s="1393"/>
      <c r="D1357" s="1506"/>
      <c r="E1357" s="1393"/>
      <c r="F1357" s="1393"/>
      <c r="G1357" s="1393"/>
      <c r="H1357" s="1507"/>
      <c r="I1357" s="1508"/>
      <c r="J1357" s="1508"/>
      <c r="K1357" s="1509"/>
      <c r="L1357" s="1509"/>
      <c r="M1357" s="1509"/>
      <c r="N1357" s="1509"/>
      <c r="O1357" s="1509"/>
      <c r="P1357" s="1509"/>
      <c r="Q1357" s="1314"/>
      <c r="R1357" s="1314"/>
      <c r="S1357" s="1314"/>
      <c r="T1357" s="1314"/>
      <c r="U1357" s="1314"/>
      <c r="V1357" s="1314"/>
      <c r="W1357" s="1314"/>
      <c r="X1357" s="1314"/>
      <c r="Y1357" s="1314"/>
      <c r="Z1357" s="1314"/>
    </row>
    <row r="1358" spans="1:26" ht="18.75">
      <c r="A1358" s="1393"/>
      <c r="B1358" s="1393"/>
      <c r="C1358" s="1393"/>
      <c r="D1358" s="1506"/>
      <c r="E1358" s="1393"/>
      <c r="F1358" s="1393"/>
      <c r="G1358" s="1393"/>
      <c r="H1358" s="1507"/>
      <c r="I1358" s="1508"/>
      <c r="J1358" s="1508"/>
      <c r="K1358" s="1509"/>
      <c r="L1358" s="1509"/>
      <c r="M1358" s="1509"/>
      <c r="N1358" s="1509"/>
      <c r="O1358" s="1509"/>
      <c r="P1358" s="1509"/>
      <c r="Q1358" s="1314"/>
      <c r="R1358" s="1314"/>
      <c r="S1358" s="1314"/>
      <c r="T1358" s="1314"/>
      <c r="U1358" s="1314"/>
      <c r="V1358" s="1314"/>
      <c r="W1358" s="1314"/>
      <c r="X1358" s="1314"/>
      <c r="Y1358" s="1314"/>
      <c r="Z1358" s="1314"/>
    </row>
    <row r="1359" spans="1:26" ht="18.75">
      <c r="A1359" s="1393"/>
      <c r="B1359" s="1393"/>
      <c r="C1359" s="1393"/>
      <c r="D1359" s="1506"/>
      <c r="E1359" s="1393"/>
      <c r="F1359" s="1393"/>
      <c r="G1359" s="1393"/>
      <c r="H1359" s="1507"/>
      <c r="I1359" s="1508"/>
      <c r="J1359" s="1508"/>
      <c r="K1359" s="1509"/>
      <c r="L1359" s="1509"/>
      <c r="M1359" s="1509"/>
      <c r="N1359" s="1509"/>
      <c r="O1359" s="1509"/>
      <c r="P1359" s="1509"/>
      <c r="Q1359" s="1314"/>
      <c r="R1359" s="1314"/>
      <c r="S1359" s="1314"/>
      <c r="T1359" s="1314"/>
      <c r="U1359" s="1314"/>
      <c r="V1359" s="1314"/>
      <c r="W1359" s="1314"/>
      <c r="X1359" s="1314"/>
      <c r="Y1359" s="1314"/>
      <c r="Z1359" s="1314"/>
    </row>
    <row r="1360" spans="1:26" ht="18.75">
      <c r="A1360" s="1393"/>
      <c r="B1360" s="1393"/>
      <c r="C1360" s="1393"/>
      <c r="D1360" s="1506"/>
      <c r="E1360" s="1393"/>
      <c r="F1360" s="1393"/>
      <c r="G1360" s="1393"/>
      <c r="H1360" s="1507"/>
      <c r="I1360" s="1508"/>
      <c r="J1360" s="1508"/>
      <c r="K1360" s="1509"/>
      <c r="L1360" s="1509"/>
      <c r="M1360" s="1509"/>
      <c r="N1360" s="1509"/>
      <c r="O1360" s="1509"/>
      <c r="P1360" s="1509"/>
      <c r="Q1360" s="1314"/>
      <c r="R1360" s="1314"/>
      <c r="S1360" s="1314"/>
      <c r="T1360" s="1314"/>
      <c r="U1360" s="1314"/>
      <c r="V1360" s="1314"/>
      <c r="W1360" s="1314"/>
      <c r="X1360" s="1314"/>
      <c r="Y1360" s="1314"/>
      <c r="Z1360" s="1314"/>
    </row>
    <row r="1361" spans="1:26" ht="18.75">
      <c r="A1361" s="1393"/>
      <c r="B1361" s="1393"/>
      <c r="C1361" s="1393"/>
      <c r="D1361" s="1506"/>
      <c r="E1361" s="1393"/>
      <c r="F1361" s="1393"/>
      <c r="G1361" s="1393"/>
      <c r="H1361" s="1507"/>
      <c r="I1361" s="1508"/>
      <c r="J1361" s="1508"/>
      <c r="K1361" s="1509"/>
      <c r="L1361" s="1509"/>
      <c r="M1361" s="1509"/>
      <c r="N1361" s="1509"/>
      <c r="O1361" s="1509"/>
      <c r="P1361" s="1509"/>
      <c r="Q1361" s="1314"/>
      <c r="R1361" s="1314"/>
      <c r="S1361" s="1314"/>
      <c r="T1361" s="1314"/>
      <c r="U1361" s="1314"/>
      <c r="V1361" s="1314"/>
      <c r="W1361" s="1314"/>
      <c r="X1361" s="1314"/>
      <c r="Y1361" s="1314"/>
      <c r="Z1361" s="1314"/>
    </row>
    <row r="1362" spans="1:26" ht="18.75">
      <c r="A1362" s="1393"/>
      <c r="B1362" s="1393"/>
      <c r="C1362" s="1393"/>
      <c r="D1362" s="1506"/>
      <c r="E1362" s="1393"/>
      <c r="F1362" s="1393"/>
      <c r="G1362" s="1393"/>
      <c r="H1362" s="1507"/>
      <c r="I1362" s="1508"/>
      <c r="J1362" s="1508"/>
      <c r="K1362" s="1509"/>
      <c r="L1362" s="1509"/>
      <c r="M1362" s="1509"/>
      <c r="N1362" s="1509"/>
      <c r="O1362" s="1509"/>
      <c r="P1362" s="1509"/>
      <c r="Q1362" s="1314"/>
      <c r="R1362" s="1314"/>
      <c r="S1362" s="1314"/>
      <c r="T1362" s="1314"/>
      <c r="U1362" s="1314"/>
      <c r="V1362" s="1314"/>
      <c r="W1362" s="1314"/>
      <c r="X1362" s="1314"/>
      <c r="Y1362" s="1314"/>
      <c r="Z1362" s="1314"/>
    </row>
    <row r="1363" spans="1:26" ht="18.75">
      <c r="A1363" s="1393"/>
      <c r="B1363" s="1393"/>
      <c r="C1363" s="1393"/>
      <c r="D1363" s="1506"/>
      <c r="E1363" s="1393"/>
      <c r="F1363" s="1393"/>
      <c r="G1363" s="1393"/>
      <c r="H1363" s="1507"/>
      <c r="I1363" s="1508"/>
      <c r="J1363" s="1508"/>
      <c r="K1363" s="1509"/>
      <c r="L1363" s="1509"/>
      <c r="M1363" s="1509"/>
      <c r="N1363" s="1509"/>
      <c r="O1363" s="1509"/>
      <c r="P1363" s="1509"/>
      <c r="Q1363" s="1314"/>
      <c r="R1363" s="1314"/>
      <c r="S1363" s="1314"/>
      <c r="T1363" s="1314"/>
      <c r="U1363" s="1314"/>
      <c r="V1363" s="1314"/>
      <c r="W1363" s="1314"/>
      <c r="X1363" s="1314"/>
      <c r="Y1363" s="1314"/>
      <c r="Z1363" s="1314"/>
    </row>
    <row r="1364" spans="1:26" ht="18.75">
      <c r="A1364" s="1393"/>
      <c r="B1364" s="1393"/>
      <c r="C1364" s="1393"/>
      <c r="D1364" s="1506"/>
      <c r="E1364" s="1393"/>
      <c r="F1364" s="1393"/>
      <c r="G1364" s="1393"/>
      <c r="H1364" s="1507"/>
      <c r="I1364" s="1508"/>
      <c r="J1364" s="1508"/>
      <c r="K1364" s="1509"/>
      <c r="L1364" s="1509"/>
      <c r="M1364" s="1509"/>
      <c r="N1364" s="1509"/>
      <c r="O1364" s="1509"/>
      <c r="P1364" s="1509"/>
      <c r="Q1364" s="1314"/>
      <c r="R1364" s="1314"/>
      <c r="S1364" s="1314"/>
      <c r="T1364" s="1314"/>
      <c r="U1364" s="1314"/>
      <c r="V1364" s="1314"/>
      <c r="W1364" s="1314"/>
      <c r="X1364" s="1314"/>
      <c r="Y1364" s="1314"/>
      <c r="Z1364" s="1314"/>
    </row>
    <row r="1365" spans="1:26" ht="18.75">
      <c r="A1365" s="1393"/>
      <c r="B1365" s="1393"/>
      <c r="C1365" s="1393"/>
      <c r="D1365" s="1506"/>
      <c r="E1365" s="1393"/>
      <c r="F1365" s="1393"/>
      <c r="G1365" s="1393"/>
      <c r="H1365" s="1507"/>
      <c r="I1365" s="1508"/>
      <c r="J1365" s="1508"/>
      <c r="K1365" s="1509"/>
      <c r="L1365" s="1509"/>
      <c r="M1365" s="1509"/>
      <c r="N1365" s="1509"/>
      <c r="O1365" s="1509"/>
      <c r="P1365" s="1509"/>
      <c r="Q1365" s="1314"/>
      <c r="R1365" s="1314"/>
      <c r="S1365" s="1314"/>
      <c r="T1365" s="1314"/>
      <c r="U1365" s="1314"/>
      <c r="V1365" s="1314"/>
      <c r="W1365" s="1314"/>
      <c r="X1365" s="1314"/>
      <c r="Y1365" s="1314"/>
      <c r="Z1365" s="1314"/>
    </row>
    <row r="1366" spans="1:26" ht="18.75">
      <c r="A1366" s="1393"/>
      <c r="B1366" s="1393"/>
      <c r="C1366" s="1393"/>
      <c r="D1366" s="1506"/>
      <c r="E1366" s="1393"/>
      <c r="F1366" s="1393"/>
      <c r="G1366" s="1393"/>
      <c r="H1366" s="1507"/>
      <c r="I1366" s="1508"/>
      <c r="J1366" s="1508"/>
      <c r="K1366" s="1509"/>
      <c r="L1366" s="1509"/>
      <c r="M1366" s="1509"/>
      <c r="N1366" s="1509"/>
      <c r="O1366" s="1509"/>
      <c r="P1366" s="1509"/>
      <c r="Q1366" s="1314"/>
      <c r="R1366" s="1314"/>
      <c r="S1366" s="1314"/>
      <c r="T1366" s="1314"/>
      <c r="U1366" s="1314"/>
      <c r="V1366" s="1314"/>
      <c r="W1366" s="1314"/>
      <c r="X1366" s="1314"/>
      <c r="Y1366" s="1314"/>
      <c r="Z1366" s="1314"/>
    </row>
    <row r="1367" spans="1:26" ht="18.75">
      <c r="A1367" s="1393"/>
      <c r="B1367" s="1393"/>
      <c r="C1367" s="1393"/>
      <c r="D1367" s="1506"/>
      <c r="E1367" s="1393"/>
      <c r="F1367" s="1393"/>
      <c r="G1367" s="1393"/>
      <c r="H1367" s="1507"/>
      <c r="I1367" s="1508"/>
      <c r="J1367" s="1508"/>
      <c r="K1367" s="1509"/>
      <c r="L1367" s="1509"/>
      <c r="M1367" s="1509"/>
      <c r="N1367" s="1509"/>
      <c r="O1367" s="1509"/>
      <c r="P1367" s="1509"/>
      <c r="Q1367" s="1314"/>
      <c r="R1367" s="1314"/>
      <c r="S1367" s="1314"/>
      <c r="T1367" s="1314"/>
      <c r="U1367" s="1314"/>
      <c r="V1367" s="1314"/>
      <c r="W1367" s="1314"/>
      <c r="X1367" s="1314"/>
      <c r="Y1367" s="1314"/>
      <c r="Z1367" s="1314"/>
    </row>
    <row r="1368" spans="1:26" ht="18.75">
      <c r="A1368" s="1393"/>
      <c r="B1368" s="1393"/>
      <c r="C1368" s="1393"/>
      <c r="D1368" s="1506"/>
      <c r="E1368" s="1393"/>
      <c r="F1368" s="1393"/>
      <c r="G1368" s="1393"/>
      <c r="H1368" s="1507"/>
      <c r="I1368" s="1508"/>
      <c r="J1368" s="1508"/>
      <c r="K1368" s="1509"/>
      <c r="L1368" s="1509"/>
      <c r="M1368" s="1509"/>
      <c r="N1368" s="1509"/>
      <c r="O1368" s="1509"/>
      <c r="P1368" s="1509"/>
      <c r="Q1368" s="1314"/>
      <c r="R1368" s="1314"/>
      <c r="S1368" s="1314"/>
      <c r="T1368" s="1314"/>
      <c r="U1368" s="1314"/>
      <c r="V1368" s="1314"/>
      <c r="W1368" s="1314"/>
      <c r="X1368" s="1314"/>
      <c r="Y1368" s="1314"/>
      <c r="Z1368" s="1314"/>
    </row>
    <row r="1369" spans="1:26" ht="18.75">
      <c r="A1369" s="1393"/>
      <c r="B1369" s="1393"/>
      <c r="C1369" s="1393"/>
      <c r="D1369" s="1506"/>
      <c r="E1369" s="1393"/>
      <c r="F1369" s="1393"/>
      <c r="G1369" s="1393"/>
      <c r="H1369" s="1507"/>
      <c r="I1369" s="1508"/>
      <c r="J1369" s="1508"/>
      <c r="K1369" s="1509"/>
      <c r="L1369" s="1509"/>
      <c r="M1369" s="1509"/>
      <c r="N1369" s="1509"/>
      <c r="O1369" s="1509"/>
      <c r="P1369" s="1509"/>
      <c r="Q1369" s="1314"/>
      <c r="R1369" s="1314"/>
      <c r="S1369" s="1314"/>
      <c r="T1369" s="1314"/>
      <c r="U1369" s="1314"/>
      <c r="V1369" s="1314"/>
      <c r="W1369" s="1314"/>
      <c r="X1369" s="1314"/>
      <c r="Y1369" s="1314"/>
      <c r="Z1369" s="1314"/>
    </row>
    <row r="1370" spans="1:26" ht="18.75">
      <c r="A1370" s="1393"/>
      <c r="B1370" s="1393"/>
      <c r="C1370" s="1393"/>
      <c r="D1370" s="1506"/>
      <c r="E1370" s="1393"/>
      <c r="F1370" s="1393"/>
      <c r="G1370" s="1393"/>
      <c r="H1370" s="1507"/>
      <c r="I1370" s="1508"/>
      <c r="J1370" s="1508"/>
      <c r="K1370" s="1509"/>
      <c r="L1370" s="1509"/>
      <c r="M1370" s="1509"/>
      <c r="N1370" s="1509"/>
      <c r="O1370" s="1509"/>
      <c r="P1370" s="1509"/>
      <c r="Q1370" s="1314"/>
      <c r="R1370" s="1314"/>
      <c r="S1370" s="1314"/>
      <c r="T1370" s="1314"/>
      <c r="U1370" s="1314"/>
      <c r="V1370" s="1314"/>
      <c r="W1370" s="1314"/>
      <c r="X1370" s="1314"/>
      <c r="Y1370" s="1314"/>
      <c r="Z1370" s="1314"/>
    </row>
    <row r="1371" spans="1:26" ht="18.75">
      <c r="A1371" s="1393"/>
      <c r="B1371" s="1393"/>
      <c r="C1371" s="1393"/>
      <c r="D1371" s="1506"/>
      <c r="E1371" s="1393"/>
      <c r="F1371" s="1393"/>
      <c r="G1371" s="1393"/>
      <c r="H1371" s="1507"/>
      <c r="I1371" s="1508"/>
      <c r="J1371" s="1508"/>
      <c r="K1371" s="1509"/>
      <c r="L1371" s="1509"/>
      <c r="M1371" s="1509"/>
      <c r="N1371" s="1509"/>
      <c r="O1371" s="1509"/>
      <c r="P1371" s="1509"/>
      <c r="Q1371" s="1314"/>
      <c r="R1371" s="1314"/>
      <c r="S1371" s="1314"/>
      <c r="T1371" s="1314"/>
      <c r="U1371" s="1314"/>
      <c r="V1371" s="1314"/>
      <c r="W1371" s="1314"/>
      <c r="X1371" s="1314"/>
      <c r="Y1371" s="1314"/>
      <c r="Z1371" s="1314"/>
    </row>
    <row r="1372" spans="1:26" ht="18.75">
      <c r="A1372" s="1393"/>
      <c r="B1372" s="1393"/>
      <c r="C1372" s="1393"/>
      <c r="D1372" s="1506"/>
      <c r="E1372" s="1393"/>
      <c r="F1372" s="1393"/>
      <c r="G1372" s="1393"/>
      <c r="H1372" s="1507"/>
      <c r="I1372" s="1508"/>
      <c r="J1372" s="1508"/>
      <c r="K1372" s="1509"/>
      <c r="L1372" s="1509"/>
      <c r="M1372" s="1509"/>
      <c r="N1372" s="1509"/>
      <c r="O1372" s="1509"/>
      <c r="P1372" s="1509"/>
      <c r="Q1372" s="1314"/>
      <c r="R1372" s="1314"/>
      <c r="S1372" s="1314"/>
      <c r="T1372" s="1314"/>
      <c r="U1372" s="1314"/>
      <c r="V1372" s="1314"/>
      <c r="W1372" s="1314"/>
      <c r="X1372" s="1314"/>
      <c r="Y1372" s="1314"/>
      <c r="Z1372" s="1314"/>
    </row>
    <row r="1373" spans="1:26" ht="18.75">
      <c r="A1373" s="1393"/>
      <c r="B1373" s="1393"/>
      <c r="C1373" s="1393"/>
      <c r="D1373" s="1506"/>
      <c r="E1373" s="1393"/>
      <c r="F1373" s="1393"/>
      <c r="G1373" s="1393"/>
      <c r="H1373" s="1507"/>
      <c r="I1373" s="1508"/>
      <c r="J1373" s="1508"/>
      <c r="K1373" s="1509"/>
      <c r="L1373" s="1509"/>
      <c r="M1373" s="1509"/>
      <c r="N1373" s="1509"/>
      <c r="O1373" s="1509"/>
      <c r="P1373" s="1509"/>
      <c r="Q1373" s="1314"/>
      <c r="R1373" s="1314"/>
      <c r="S1373" s="1314"/>
      <c r="T1373" s="1314"/>
      <c r="U1373" s="1314"/>
      <c r="V1373" s="1314"/>
      <c r="W1373" s="1314"/>
      <c r="X1373" s="1314"/>
      <c r="Y1373" s="1314"/>
      <c r="Z1373" s="1314"/>
    </row>
    <row r="1374" spans="1:26" ht="18.75">
      <c r="A1374" s="1393"/>
      <c r="B1374" s="1393"/>
      <c r="C1374" s="1393"/>
      <c r="D1374" s="1506"/>
      <c r="E1374" s="1393"/>
      <c r="F1374" s="1393"/>
      <c r="G1374" s="1393"/>
      <c r="H1374" s="1507"/>
      <c r="I1374" s="1508"/>
      <c r="J1374" s="1508"/>
      <c r="K1374" s="1509"/>
      <c r="L1374" s="1509"/>
      <c r="M1374" s="1509"/>
      <c r="N1374" s="1509"/>
      <c r="O1374" s="1509"/>
      <c r="P1374" s="1509"/>
      <c r="Q1374" s="1314"/>
      <c r="R1374" s="1314"/>
      <c r="S1374" s="1314"/>
      <c r="T1374" s="1314"/>
      <c r="U1374" s="1314"/>
      <c r="V1374" s="1314"/>
      <c r="W1374" s="1314"/>
      <c r="X1374" s="1314"/>
      <c r="Y1374" s="1314"/>
      <c r="Z1374" s="1314"/>
    </row>
    <row r="1375" spans="1:26" ht="18.75">
      <c r="A1375" s="1393"/>
      <c r="B1375" s="1393"/>
      <c r="C1375" s="1393"/>
      <c r="D1375" s="1506"/>
      <c r="E1375" s="1393"/>
      <c r="F1375" s="1393"/>
      <c r="G1375" s="1393"/>
      <c r="H1375" s="1507"/>
      <c r="I1375" s="1508"/>
      <c r="J1375" s="1508"/>
      <c r="K1375" s="1509"/>
      <c r="L1375" s="1509"/>
      <c r="M1375" s="1509"/>
      <c r="N1375" s="1509"/>
      <c r="O1375" s="1509"/>
      <c r="P1375" s="1509"/>
      <c r="Q1375" s="1314"/>
      <c r="R1375" s="1314"/>
      <c r="S1375" s="1314"/>
      <c r="T1375" s="1314"/>
      <c r="U1375" s="1314"/>
      <c r="V1375" s="1314"/>
      <c r="W1375" s="1314"/>
      <c r="X1375" s="1314"/>
      <c r="Y1375" s="1314"/>
      <c r="Z1375" s="1314"/>
    </row>
    <row r="1376" spans="1:26" ht="18.75">
      <c r="A1376" s="1393"/>
      <c r="B1376" s="1393"/>
      <c r="C1376" s="1393"/>
      <c r="D1376" s="1506"/>
      <c r="E1376" s="1393"/>
      <c r="F1376" s="1393"/>
      <c r="G1376" s="1393"/>
      <c r="H1376" s="1507"/>
      <c r="I1376" s="1508"/>
      <c r="J1376" s="1508"/>
      <c r="K1376" s="1509"/>
      <c r="L1376" s="1509"/>
      <c r="M1376" s="1509"/>
      <c r="N1376" s="1509"/>
      <c r="O1376" s="1509"/>
      <c r="P1376" s="1509"/>
      <c r="Q1376" s="1314"/>
      <c r="R1376" s="1314"/>
      <c r="S1376" s="1314"/>
      <c r="T1376" s="1314"/>
      <c r="U1376" s="1314"/>
      <c r="V1376" s="1314"/>
      <c r="W1376" s="1314"/>
      <c r="X1376" s="1314"/>
      <c r="Y1376" s="1314"/>
      <c r="Z1376" s="1314"/>
    </row>
    <row r="1377" spans="1:26" ht="18.75">
      <c r="A1377" s="1393"/>
      <c r="B1377" s="1393"/>
      <c r="C1377" s="1393"/>
      <c r="D1377" s="1506"/>
      <c r="E1377" s="1393"/>
      <c r="F1377" s="1393"/>
      <c r="G1377" s="1393"/>
      <c r="H1377" s="1507"/>
      <c r="I1377" s="1508"/>
      <c r="J1377" s="1508"/>
      <c r="K1377" s="1509"/>
      <c r="L1377" s="1509"/>
      <c r="M1377" s="1509"/>
      <c r="N1377" s="1509"/>
      <c r="O1377" s="1509"/>
      <c r="P1377" s="1509"/>
      <c r="Q1377" s="1314"/>
      <c r="R1377" s="1314"/>
      <c r="S1377" s="1314"/>
      <c r="T1377" s="1314"/>
      <c r="U1377" s="1314"/>
      <c r="V1377" s="1314"/>
      <c r="W1377" s="1314"/>
      <c r="X1377" s="1314"/>
      <c r="Y1377" s="1314"/>
      <c r="Z1377" s="1314"/>
    </row>
    <row r="1378" spans="1:26" ht="18.75">
      <c r="A1378" s="1393"/>
      <c r="B1378" s="1393"/>
      <c r="C1378" s="1393"/>
      <c r="D1378" s="1506"/>
      <c r="E1378" s="1393"/>
      <c r="F1378" s="1393"/>
      <c r="G1378" s="1393"/>
      <c r="H1378" s="1507"/>
      <c r="I1378" s="1508"/>
      <c r="J1378" s="1508"/>
      <c r="K1378" s="1509"/>
      <c r="L1378" s="1509"/>
      <c r="M1378" s="1509"/>
      <c r="N1378" s="1509"/>
      <c r="O1378" s="1509"/>
      <c r="P1378" s="1509"/>
      <c r="Q1378" s="1314"/>
      <c r="R1378" s="1314"/>
      <c r="S1378" s="1314"/>
      <c r="T1378" s="1314"/>
      <c r="U1378" s="1314"/>
      <c r="V1378" s="1314"/>
      <c r="W1378" s="1314"/>
      <c r="X1378" s="1314"/>
      <c r="Y1378" s="1314"/>
      <c r="Z1378" s="1314"/>
    </row>
    <row r="1379" spans="1:26" ht="18.75">
      <c r="A1379" s="1393"/>
      <c r="B1379" s="1393"/>
      <c r="C1379" s="1393"/>
      <c r="D1379" s="1506"/>
      <c r="E1379" s="1393"/>
      <c r="F1379" s="1393"/>
      <c r="G1379" s="1393"/>
      <c r="H1379" s="1507"/>
      <c r="I1379" s="1508"/>
      <c r="J1379" s="1508"/>
      <c r="K1379" s="1509"/>
      <c r="L1379" s="1509"/>
      <c r="M1379" s="1509"/>
      <c r="N1379" s="1509"/>
      <c r="O1379" s="1509"/>
      <c r="P1379" s="1509"/>
      <c r="Q1379" s="1314"/>
      <c r="R1379" s="1314"/>
      <c r="S1379" s="1314"/>
      <c r="T1379" s="1314"/>
      <c r="U1379" s="1314"/>
      <c r="V1379" s="1314"/>
      <c r="W1379" s="1314"/>
      <c r="X1379" s="1314"/>
      <c r="Y1379" s="1314"/>
      <c r="Z1379" s="1314"/>
    </row>
    <row r="1380" spans="1:26" ht="18.75">
      <c r="A1380" s="1393"/>
      <c r="B1380" s="1393"/>
      <c r="C1380" s="1393"/>
      <c r="D1380" s="1506"/>
      <c r="E1380" s="1393"/>
      <c r="F1380" s="1393"/>
      <c r="G1380" s="1393"/>
      <c r="H1380" s="1507"/>
      <c r="I1380" s="1508"/>
      <c r="J1380" s="1508"/>
      <c r="K1380" s="1509"/>
      <c r="L1380" s="1509"/>
      <c r="M1380" s="1509"/>
      <c r="N1380" s="1509"/>
      <c r="O1380" s="1509"/>
      <c r="P1380" s="1509"/>
      <c r="Q1380" s="1314"/>
      <c r="R1380" s="1314"/>
      <c r="S1380" s="1314"/>
      <c r="T1380" s="1314"/>
      <c r="U1380" s="1314"/>
      <c r="V1380" s="1314"/>
      <c r="W1380" s="1314"/>
      <c r="X1380" s="1314"/>
      <c r="Y1380" s="1314"/>
      <c r="Z1380" s="1314"/>
    </row>
    <row r="1381" spans="1:26" ht="18.75">
      <c r="A1381" s="1393"/>
      <c r="B1381" s="1393"/>
      <c r="C1381" s="1393"/>
      <c r="D1381" s="1506"/>
      <c r="E1381" s="1393"/>
      <c r="F1381" s="1393"/>
      <c r="G1381" s="1393"/>
      <c r="H1381" s="1507"/>
      <c r="I1381" s="1508"/>
      <c r="J1381" s="1508"/>
      <c r="K1381" s="1509"/>
      <c r="L1381" s="1509"/>
      <c r="M1381" s="1509"/>
      <c r="N1381" s="1509"/>
      <c r="O1381" s="1509"/>
      <c r="P1381" s="1509"/>
      <c r="Q1381" s="1314"/>
      <c r="R1381" s="1314"/>
      <c r="S1381" s="1314"/>
      <c r="T1381" s="1314"/>
      <c r="U1381" s="1314"/>
      <c r="V1381" s="1314"/>
      <c r="W1381" s="1314"/>
      <c r="X1381" s="1314"/>
      <c r="Y1381" s="1314"/>
      <c r="Z1381" s="1314"/>
    </row>
    <row r="1382" spans="1:26" ht="18.75">
      <c r="A1382" s="1393"/>
      <c r="B1382" s="1393"/>
      <c r="C1382" s="1393"/>
      <c r="D1382" s="1506"/>
      <c r="E1382" s="1393"/>
      <c r="F1382" s="1393"/>
      <c r="G1382" s="1393"/>
      <c r="H1382" s="1507"/>
      <c r="I1382" s="1508"/>
      <c r="J1382" s="1508"/>
      <c r="K1382" s="1509"/>
      <c r="L1382" s="1509"/>
      <c r="M1382" s="1509"/>
      <c r="N1382" s="1509"/>
      <c r="O1382" s="1509"/>
      <c r="P1382" s="1509"/>
      <c r="Q1382" s="1314"/>
      <c r="R1382" s="1314"/>
      <c r="S1382" s="1314"/>
      <c r="T1382" s="1314"/>
      <c r="U1382" s="1314"/>
      <c r="V1382" s="1314"/>
      <c r="W1382" s="1314"/>
      <c r="X1382" s="1314"/>
      <c r="Y1382" s="1314"/>
      <c r="Z1382" s="1314"/>
    </row>
    <row r="1383" spans="1:26" ht="18.75">
      <c r="A1383" s="1393"/>
      <c r="B1383" s="1393"/>
      <c r="C1383" s="1393"/>
      <c r="D1383" s="1506"/>
      <c r="E1383" s="1393"/>
      <c r="F1383" s="1393"/>
      <c r="G1383" s="1393"/>
      <c r="H1383" s="1507"/>
      <c r="I1383" s="1508"/>
      <c r="J1383" s="1508"/>
      <c r="K1383" s="1509"/>
      <c r="L1383" s="1509"/>
      <c r="M1383" s="1509"/>
      <c r="N1383" s="1509"/>
      <c r="O1383" s="1509"/>
      <c r="P1383" s="1509"/>
      <c r="Q1383" s="1314"/>
      <c r="R1383" s="1314"/>
      <c r="S1383" s="1314"/>
      <c r="T1383" s="1314"/>
      <c r="U1383" s="1314"/>
      <c r="V1383" s="1314"/>
      <c r="W1383" s="1314"/>
      <c r="X1383" s="1314"/>
      <c r="Y1383" s="1314"/>
      <c r="Z1383" s="1314"/>
    </row>
    <row r="1384" spans="1:26" ht="18.75">
      <c r="A1384" s="1393"/>
      <c r="B1384" s="1393"/>
      <c r="C1384" s="1393"/>
      <c r="D1384" s="1506"/>
      <c r="E1384" s="1393"/>
      <c r="F1384" s="1393"/>
      <c r="G1384" s="1393"/>
      <c r="H1384" s="1507"/>
      <c r="I1384" s="1508"/>
      <c r="J1384" s="1508"/>
      <c r="K1384" s="1509"/>
      <c r="L1384" s="1509"/>
      <c r="M1384" s="1509"/>
      <c r="N1384" s="1509"/>
      <c r="O1384" s="1509"/>
      <c r="P1384" s="1509"/>
      <c r="Q1384" s="1314"/>
      <c r="R1384" s="1314"/>
      <c r="S1384" s="1314"/>
      <c r="T1384" s="1314"/>
      <c r="U1384" s="1314"/>
      <c r="V1384" s="1314"/>
      <c r="W1384" s="1314"/>
      <c r="X1384" s="1314"/>
      <c r="Y1384" s="1314"/>
      <c r="Z1384" s="1314"/>
    </row>
    <row r="1385" spans="1:26" ht="18.75">
      <c r="A1385" s="1393"/>
      <c r="B1385" s="1393"/>
      <c r="C1385" s="1393"/>
      <c r="D1385" s="1506"/>
      <c r="E1385" s="1393"/>
      <c r="F1385" s="1393"/>
      <c r="G1385" s="1393"/>
      <c r="H1385" s="1507"/>
      <c r="I1385" s="1508"/>
      <c r="J1385" s="1508"/>
      <c r="K1385" s="1509"/>
      <c r="L1385" s="1509"/>
      <c r="M1385" s="1509"/>
      <c r="N1385" s="1509"/>
      <c r="O1385" s="1509"/>
      <c r="P1385" s="1509"/>
      <c r="Q1385" s="1314"/>
      <c r="R1385" s="1314"/>
      <c r="S1385" s="1314"/>
      <c r="T1385" s="1314"/>
      <c r="U1385" s="1314"/>
      <c r="V1385" s="1314"/>
      <c r="W1385" s="1314"/>
      <c r="X1385" s="1314"/>
      <c r="Y1385" s="1314"/>
      <c r="Z1385" s="1314"/>
    </row>
    <row r="1386" spans="1:26" ht="18.75">
      <c r="A1386" s="1393"/>
      <c r="B1386" s="1393"/>
      <c r="C1386" s="1393"/>
      <c r="D1386" s="1506"/>
      <c r="E1386" s="1393"/>
      <c r="F1386" s="1393"/>
      <c r="G1386" s="1393"/>
      <c r="H1386" s="1507"/>
      <c r="I1386" s="1508"/>
      <c r="J1386" s="1508"/>
      <c r="K1386" s="1509"/>
      <c r="L1386" s="1509"/>
      <c r="M1386" s="1509"/>
      <c r="N1386" s="1509"/>
      <c r="O1386" s="1509"/>
      <c r="P1386" s="1509"/>
      <c r="Q1386" s="1314"/>
      <c r="R1386" s="1314"/>
      <c r="S1386" s="1314"/>
      <c r="T1386" s="1314"/>
      <c r="U1386" s="1314"/>
      <c r="V1386" s="1314"/>
      <c r="W1386" s="1314"/>
      <c r="X1386" s="1314"/>
      <c r="Y1386" s="1314"/>
      <c r="Z1386" s="1314"/>
    </row>
    <row r="1387" spans="1:26" ht="18.75">
      <c r="A1387" s="1393"/>
      <c r="B1387" s="1393"/>
      <c r="C1387" s="1393"/>
      <c r="D1387" s="1506"/>
      <c r="E1387" s="1393"/>
      <c r="F1387" s="1393"/>
      <c r="G1387" s="1393"/>
      <c r="H1387" s="1507"/>
      <c r="I1387" s="1508"/>
      <c r="J1387" s="1508"/>
      <c r="K1387" s="1509"/>
      <c r="L1387" s="1509"/>
      <c r="M1387" s="1509"/>
      <c r="N1387" s="1509"/>
      <c r="O1387" s="1509"/>
      <c r="P1387" s="1509"/>
      <c r="Q1387" s="1314"/>
      <c r="R1387" s="1314"/>
      <c r="S1387" s="1314"/>
      <c r="T1387" s="1314"/>
      <c r="U1387" s="1314"/>
      <c r="V1387" s="1314"/>
      <c r="W1387" s="1314"/>
      <c r="X1387" s="1314"/>
      <c r="Y1387" s="1314"/>
      <c r="Z1387" s="1314"/>
    </row>
    <row r="1388" spans="1:26" ht="18.75">
      <c r="A1388" s="1393"/>
      <c r="B1388" s="1393"/>
      <c r="C1388" s="1393"/>
      <c r="D1388" s="1506"/>
      <c r="E1388" s="1393"/>
      <c r="F1388" s="1393"/>
      <c r="G1388" s="1393"/>
      <c r="H1388" s="1507"/>
      <c r="I1388" s="1508"/>
      <c r="J1388" s="1508"/>
      <c r="K1388" s="1509"/>
      <c r="L1388" s="1509"/>
      <c r="M1388" s="1509"/>
      <c r="N1388" s="1509"/>
      <c r="O1388" s="1509"/>
      <c r="P1388" s="1509"/>
      <c r="Q1388" s="1314"/>
      <c r="R1388" s="1314"/>
      <c r="S1388" s="1314"/>
      <c r="T1388" s="1314"/>
      <c r="U1388" s="1314"/>
      <c r="V1388" s="1314"/>
      <c r="W1388" s="1314"/>
      <c r="X1388" s="1314"/>
      <c r="Y1388" s="1314"/>
      <c r="Z1388" s="1314"/>
    </row>
    <row r="1389" spans="1:26" ht="18.75">
      <c r="A1389" s="1393"/>
      <c r="B1389" s="1393"/>
      <c r="C1389" s="1393"/>
      <c r="D1389" s="1506"/>
      <c r="E1389" s="1393"/>
      <c r="F1389" s="1393"/>
      <c r="G1389" s="1393"/>
      <c r="H1389" s="1507"/>
      <c r="I1389" s="1508"/>
      <c r="J1389" s="1508"/>
      <c r="K1389" s="1509"/>
      <c r="L1389" s="1509"/>
      <c r="M1389" s="1509"/>
      <c r="N1389" s="1509"/>
      <c r="O1389" s="1509"/>
      <c r="P1389" s="1509"/>
      <c r="Q1389" s="1314"/>
      <c r="R1389" s="1314"/>
      <c r="S1389" s="1314"/>
      <c r="T1389" s="1314"/>
      <c r="U1389" s="1314"/>
      <c r="V1389" s="1314"/>
      <c r="W1389" s="1314"/>
      <c r="X1389" s="1314"/>
      <c r="Y1389" s="1314"/>
      <c r="Z1389" s="1314"/>
    </row>
    <row r="1390" spans="1:26" ht="18.75">
      <c r="A1390" s="1393"/>
      <c r="B1390" s="1393"/>
      <c r="C1390" s="1393"/>
      <c r="D1390" s="1506"/>
      <c r="E1390" s="1393"/>
      <c r="F1390" s="1393"/>
      <c r="G1390" s="1393"/>
      <c r="H1390" s="1507"/>
      <c r="I1390" s="1508"/>
      <c r="J1390" s="1508"/>
      <c r="K1390" s="1509"/>
      <c r="L1390" s="1509"/>
      <c r="M1390" s="1509"/>
      <c r="N1390" s="1509"/>
      <c r="O1390" s="1509"/>
      <c r="P1390" s="1509"/>
      <c r="Q1390" s="1314"/>
      <c r="R1390" s="1314"/>
      <c r="S1390" s="1314"/>
      <c r="T1390" s="1314"/>
      <c r="U1390" s="1314"/>
      <c r="V1390" s="1314"/>
      <c r="W1390" s="1314"/>
      <c r="X1390" s="1314"/>
      <c r="Y1390" s="1314"/>
      <c r="Z1390" s="1314"/>
    </row>
    <row r="1391" spans="1:26" ht="18.75">
      <c r="A1391" s="1393"/>
      <c r="B1391" s="1393"/>
      <c r="C1391" s="1393"/>
      <c r="D1391" s="1506"/>
      <c r="E1391" s="1393"/>
      <c r="F1391" s="1393"/>
      <c r="G1391" s="1393"/>
      <c r="H1391" s="1507"/>
      <c r="I1391" s="1508"/>
      <c r="J1391" s="1508"/>
      <c r="K1391" s="1509"/>
      <c r="L1391" s="1509"/>
      <c r="M1391" s="1509"/>
      <c r="N1391" s="1509"/>
      <c r="O1391" s="1509"/>
      <c r="P1391" s="1509"/>
      <c r="Q1391" s="1314"/>
      <c r="R1391" s="1314"/>
      <c r="S1391" s="1314"/>
      <c r="T1391" s="1314"/>
      <c r="U1391" s="1314"/>
      <c r="V1391" s="1314"/>
      <c r="W1391" s="1314"/>
      <c r="X1391" s="1314"/>
      <c r="Y1391" s="1314"/>
      <c r="Z1391" s="1314"/>
    </row>
    <row r="1392" spans="1:26" ht="18.75">
      <c r="A1392" s="1393"/>
      <c r="B1392" s="1393"/>
      <c r="C1392" s="1393"/>
      <c r="D1392" s="1506"/>
      <c r="E1392" s="1393"/>
      <c r="F1392" s="1393"/>
      <c r="G1392" s="1393"/>
      <c r="H1392" s="1507"/>
      <c r="I1392" s="1508"/>
      <c r="J1392" s="1508"/>
      <c r="K1392" s="1509"/>
      <c r="L1392" s="1509"/>
      <c r="M1392" s="1509"/>
      <c r="N1392" s="1509"/>
      <c r="O1392" s="1509"/>
      <c r="P1392" s="1509"/>
      <c r="Q1392" s="1314"/>
      <c r="R1392" s="1314"/>
      <c r="S1392" s="1314"/>
      <c r="T1392" s="1314"/>
      <c r="U1392" s="1314"/>
      <c r="V1392" s="1314"/>
      <c r="W1392" s="1314"/>
      <c r="X1392" s="1314"/>
      <c r="Y1392" s="1314"/>
      <c r="Z1392" s="1314"/>
    </row>
    <row r="1393" spans="1:26" ht="18.75">
      <c r="A1393" s="1393"/>
      <c r="B1393" s="1393"/>
      <c r="C1393" s="1393"/>
      <c r="D1393" s="1506"/>
      <c r="E1393" s="1393"/>
      <c r="F1393" s="1393"/>
      <c r="G1393" s="1393"/>
      <c r="H1393" s="1507"/>
      <c r="I1393" s="1508"/>
      <c r="J1393" s="1508"/>
      <c r="K1393" s="1509"/>
      <c r="L1393" s="1509"/>
      <c r="M1393" s="1509"/>
      <c r="N1393" s="1509"/>
      <c r="O1393" s="1509"/>
      <c r="P1393" s="1509"/>
      <c r="Q1393" s="1314"/>
      <c r="R1393" s="1314"/>
      <c r="S1393" s="1314"/>
      <c r="T1393" s="1314"/>
      <c r="U1393" s="1314"/>
      <c r="V1393" s="1314"/>
      <c r="W1393" s="1314"/>
      <c r="X1393" s="1314"/>
      <c r="Y1393" s="1314"/>
      <c r="Z1393" s="1314"/>
    </row>
    <row r="1394" spans="1:26" ht="18.75">
      <c r="A1394" s="1393"/>
      <c r="B1394" s="1393"/>
      <c r="C1394" s="1393"/>
      <c r="D1394" s="1506"/>
      <c r="E1394" s="1393"/>
      <c r="F1394" s="1393"/>
      <c r="G1394" s="1393"/>
      <c r="H1394" s="1507"/>
      <c r="I1394" s="1508"/>
      <c r="J1394" s="1508"/>
      <c r="K1394" s="1509"/>
      <c r="L1394" s="1509"/>
      <c r="M1394" s="1509"/>
      <c r="N1394" s="1509"/>
      <c r="O1394" s="1509"/>
      <c r="P1394" s="1509"/>
      <c r="Q1394" s="1314"/>
      <c r="R1394" s="1314"/>
      <c r="S1394" s="1314"/>
      <c r="T1394" s="1314"/>
      <c r="U1394" s="1314"/>
      <c r="V1394" s="1314"/>
      <c r="W1394" s="1314"/>
      <c r="X1394" s="1314"/>
      <c r="Y1394" s="1314"/>
      <c r="Z1394" s="1314"/>
    </row>
    <row r="1395" spans="1:26" ht="18.75">
      <c r="A1395" s="1393"/>
      <c r="B1395" s="1393"/>
      <c r="C1395" s="1393"/>
      <c r="D1395" s="1506"/>
      <c r="E1395" s="1393"/>
      <c r="F1395" s="1393"/>
      <c r="G1395" s="1393"/>
      <c r="H1395" s="1507"/>
      <c r="I1395" s="1508"/>
      <c r="J1395" s="1508"/>
      <c r="K1395" s="1509"/>
      <c r="L1395" s="1509"/>
      <c r="M1395" s="1509"/>
      <c r="N1395" s="1509"/>
      <c r="O1395" s="1509"/>
      <c r="P1395" s="1509"/>
      <c r="Q1395" s="1314"/>
      <c r="R1395" s="1314"/>
      <c r="S1395" s="1314"/>
      <c r="T1395" s="1314"/>
      <c r="U1395" s="1314"/>
      <c r="V1395" s="1314"/>
      <c r="W1395" s="1314"/>
      <c r="X1395" s="1314"/>
      <c r="Y1395" s="1314"/>
      <c r="Z1395" s="1314"/>
    </row>
    <row r="1396" spans="1:26" ht="18.75">
      <c r="A1396" s="1393"/>
      <c r="B1396" s="1393"/>
      <c r="C1396" s="1393"/>
      <c r="D1396" s="1506"/>
      <c r="E1396" s="1393"/>
      <c r="F1396" s="1393"/>
      <c r="G1396" s="1393"/>
      <c r="H1396" s="1507"/>
      <c r="I1396" s="1508"/>
      <c r="J1396" s="1508"/>
      <c r="K1396" s="1509"/>
      <c r="L1396" s="1509"/>
      <c r="M1396" s="1509"/>
      <c r="N1396" s="1509"/>
      <c r="O1396" s="1509"/>
      <c r="P1396" s="1509"/>
      <c r="Q1396" s="1314"/>
      <c r="R1396" s="1314"/>
      <c r="S1396" s="1314"/>
      <c r="T1396" s="1314"/>
      <c r="U1396" s="1314"/>
      <c r="V1396" s="1314"/>
      <c r="W1396" s="1314"/>
      <c r="X1396" s="1314"/>
      <c r="Y1396" s="1314"/>
      <c r="Z1396" s="1314"/>
    </row>
    <row r="1397" spans="1:26" ht="18.75">
      <c r="A1397" s="1393"/>
      <c r="B1397" s="1393"/>
      <c r="C1397" s="1393"/>
      <c r="D1397" s="1506"/>
      <c r="E1397" s="1393"/>
      <c r="F1397" s="1393"/>
      <c r="G1397" s="1393"/>
      <c r="H1397" s="1507"/>
      <c r="I1397" s="1508"/>
      <c r="J1397" s="1508"/>
      <c r="K1397" s="1509"/>
      <c r="L1397" s="1509"/>
      <c r="M1397" s="1509"/>
      <c r="N1397" s="1509"/>
      <c r="O1397" s="1509"/>
      <c r="P1397" s="1509"/>
      <c r="Q1397" s="1314"/>
      <c r="R1397" s="1314"/>
      <c r="S1397" s="1314"/>
      <c r="T1397" s="1314"/>
      <c r="U1397" s="1314"/>
      <c r="V1397" s="1314"/>
      <c r="W1397" s="1314"/>
      <c r="X1397" s="1314"/>
      <c r="Y1397" s="1314"/>
      <c r="Z1397" s="1314"/>
    </row>
    <row r="1398" spans="1:26" ht="18.75">
      <c r="A1398" s="1393"/>
      <c r="B1398" s="1393"/>
      <c r="C1398" s="1393"/>
      <c r="D1398" s="1506"/>
      <c r="E1398" s="1393"/>
      <c r="F1398" s="1393"/>
      <c r="G1398" s="1393"/>
      <c r="H1398" s="1507"/>
      <c r="I1398" s="1508"/>
      <c r="J1398" s="1508"/>
      <c r="K1398" s="1509"/>
      <c r="L1398" s="1509"/>
      <c r="M1398" s="1509"/>
      <c r="N1398" s="1509"/>
      <c r="O1398" s="1509"/>
      <c r="P1398" s="1509"/>
      <c r="Q1398" s="1314"/>
      <c r="R1398" s="1314"/>
      <c r="S1398" s="1314"/>
      <c r="T1398" s="1314"/>
      <c r="U1398" s="1314"/>
      <c r="V1398" s="1314"/>
      <c r="W1398" s="1314"/>
      <c r="X1398" s="1314"/>
      <c r="Y1398" s="1314"/>
      <c r="Z1398" s="1314"/>
    </row>
    <row r="1399" spans="1:26" ht="18.75">
      <c r="A1399" s="1393"/>
      <c r="B1399" s="1393"/>
      <c r="C1399" s="1393"/>
      <c r="D1399" s="1506"/>
      <c r="E1399" s="1393"/>
      <c r="F1399" s="1393"/>
      <c r="G1399" s="1393"/>
      <c r="H1399" s="1507"/>
      <c r="I1399" s="1508"/>
      <c r="J1399" s="1508"/>
      <c r="K1399" s="1509"/>
      <c r="L1399" s="1509"/>
      <c r="M1399" s="1509"/>
      <c r="N1399" s="1509"/>
      <c r="O1399" s="1509"/>
      <c r="P1399" s="1509"/>
      <c r="Q1399" s="1314"/>
      <c r="R1399" s="1314"/>
      <c r="S1399" s="1314"/>
      <c r="T1399" s="1314"/>
      <c r="U1399" s="1314"/>
      <c r="V1399" s="1314"/>
      <c r="W1399" s="1314"/>
      <c r="X1399" s="1314"/>
      <c r="Y1399" s="1314"/>
      <c r="Z1399" s="1314"/>
    </row>
    <row r="1400" spans="1:26" ht="18.75">
      <c r="A1400" s="1393"/>
      <c r="B1400" s="1393"/>
      <c r="C1400" s="1393"/>
      <c r="D1400" s="1506"/>
      <c r="E1400" s="1393"/>
      <c r="F1400" s="1393"/>
      <c r="G1400" s="1393"/>
      <c r="H1400" s="1507"/>
      <c r="I1400" s="1508"/>
      <c r="J1400" s="1508"/>
      <c r="K1400" s="1509"/>
      <c r="L1400" s="1509"/>
      <c r="M1400" s="1509"/>
      <c r="N1400" s="1509"/>
      <c r="O1400" s="1509"/>
      <c r="P1400" s="1509"/>
      <c r="Q1400" s="1314"/>
      <c r="R1400" s="1314"/>
      <c r="S1400" s="1314"/>
      <c r="T1400" s="1314"/>
      <c r="U1400" s="1314"/>
      <c r="V1400" s="1314"/>
      <c r="W1400" s="1314"/>
      <c r="X1400" s="1314"/>
      <c r="Y1400" s="1314"/>
      <c r="Z1400" s="1314"/>
    </row>
    <row r="1401" spans="1:26" ht="18.75">
      <c r="A1401" s="1393"/>
      <c r="B1401" s="1393"/>
      <c r="C1401" s="1393"/>
      <c r="D1401" s="1506"/>
      <c r="E1401" s="1393"/>
      <c r="F1401" s="1393"/>
      <c r="G1401" s="1393"/>
      <c r="H1401" s="1507"/>
      <c r="I1401" s="1508"/>
      <c r="J1401" s="1508"/>
      <c r="K1401" s="1509"/>
      <c r="L1401" s="1509"/>
      <c r="M1401" s="1509"/>
      <c r="N1401" s="1509"/>
      <c r="O1401" s="1509"/>
      <c r="P1401" s="1509"/>
      <c r="Q1401" s="1314"/>
      <c r="R1401" s="1314"/>
      <c r="S1401" s="1314"/>
      <c r="T1401" s="1314"/>
      <c r="U1401" s="1314"/>
      <c r="V1401" s="1314"/>
      <c r="W1401" s="1314"/>
      <c r="X1401" s="1314"/>
      <c r="Y1401" s="1314"/>
      <c r="Z1401" s="1314"/>
    </row>
    <row r="1402" spans="1:26" ht="18.75">
      <c r="A1402" s="1393"/>
      <c r="B1402" s="1393"/>
      <c r="C1402" s="1393"/>
      <c r="D1402" s="1506"/>
      <c r="E1402" s="1393"/>
      <c r="F1402" s="1393"/>
      <c r="G1402" s="1393"/>
      <c r="H1402" s="1507"/>
      <c r="I1402" s="1508"/>
      <c r="J1402" s="1508"/>
      <c r="K1402" s="1509"/>
      <c r="L1402" s="1509"/>
      <c r="M1402" s="1509"/>
      <c r="N1402" s="1509"/>
      <c r="O1402" s="1509"/>
      <c r="P1402" s="1509"/>
      <c r="Q1402" s="1314"/>
      <c r="R1402" s="1314"/>
      <c r="S1402" s="1314"/>
      <c r="T1402" s="1314"/>
      <c r="U1402" s="1314"/>
      <c r="V1402" s="1314"/>
      <c r="W1402" s="1314"/>
      <c r="X1402" s="1314"/>
      <c r="Y1402" s="1314"/>
      <c r="Z1402" s="1314"/>
    </row>
    <row r="1403" spans="1:26" ht="18.75">
      <c r="A1403" s="1393"/>
      <c r="B1403" s="1393"/>
      <c r="C1403" s="1393"/>
      <c r="D1403" s="1506"/>
      <c r="E1403" s="1393"/>
      <c r="F1403" s="1393"/>
      <c r="G1403" s="1393"/>
      <c r="H1403" s="1507"/>
      <c r="I1403" s="1508"/>
      <c r="J1403" s="1508"/>
      <c r="K1403" s="1509"/>
      <c r="L1403" s="1509"/>
      <c r="M1403" s="1509"/>
      <c r="N1403" s="1509"/>
      <c r="O1403" s="1509"/>
      <c r="P1403" s="1509"/>
      <c r="Q1403" s="1314"/>
      <c r="R1403" s="1314"/>
      <c r="S1403" s="1314"/>
      <c r="T1403" s="1314"/>
      <c r="U1403" s="1314"/>
      <c r="V1403" s="1314"/>
      <c r="W1403" s="1314"/>
      <c r="X1403" s="1314"/>
      <c r="Y1403" s="1314"/>
      <c r="Z1403" s="1314"/>
    </row>
    <row r="1404" spans="1:26" ht="18.75">
      <c r="A1404" s="1393"/>
      <c r="B1404" s="1393"/>
      <c r="C1404" s="1393"/>
      <c r="D1404" s="1506"/>
      <c r="E1404" s="1393"/>
      <c r="F1404" s="1393"/>
      <c r="G1404" s="1393"/>
      <c r="H1404" s="1507"/>
      <c r="I1404" s="1508"/>
      <c r="J1404" s="1508"/>
      <c r="K1404" s="1509"/>
      <c r="L1404" s="1509"/>
      <c r="M1404" s="1509"/>
      <c r="N1404" s="1509"/>
      <c r="O1404" s="1509"/>
      <c r="P1404" s="1509"/>
      <c r="Q1404" s="1314"/>
      <c r="R1404" s="1314"/>
      <c r="S1404" s="1314"/>
      <c r="T1404" s="1314"/>
      <c r="U1404" s="1314"/>
      <c r="V1404" s="1314"/>
      <c r="W1404" s="1314"/>
      <c r="X1404" s="1314"/>
      <c r="Y1404" s="1314"/>
      <c r="Z1404" s="1314"/>
    </row>
    <row r="1405" spans="1:26" ht="18.75">
      <c r="A1405" s="1393"/>
      <c r="B1405" s="1393"/>
      <c r="C1405" s="1393"/>
      <c r="D1405" s="1506"/>
      <c r="E1405" s="1393"/>
      <c r="F1405" s="1393"/>
      <c r="G1405" s="1393"/>
      <c r="H1405" s="1507"/>
      <c r="I1405" s="1508"/>
      <c r="J1405" s="1508"/>
      <c r="K1405" s="1509"/>
      <c r="L1405" s="1509"/>
      <c r="M1405" s="1509"/>
      <c r="N1405" s="1509"/>
      <c r="O1405" s="1509"/>
      <c r="P1405" s="1509"/>
      <c r="Q1405" s="1314"/>
      <c r="R1405" s="1314"/>
      <c r="S1405" s="1314"/>
      <c r="T1405" s="1314"/>
      <c r="U1405" s="1314"/>
      <c r="V1405" s="1314"/>
      <c r="W1405" s="1314"/>
      <c r="X1405" s="1314"/>
      <c r="Y1405" s="1314"/>
      <c r="Z1405" s="1314"/>
    </row>
    <row r="1406" spans="1:26" ht="18.75">
      <c r="A1406" s="1393"/>
      <c r="B1406" s="1393"/>
      <c r="C1406" s="1393"/>
      <c r="D1406" s="1506"/>
      <c r="E1406" s="1393"/>
      <c r="F1406" s="1393"/>
      <c r="G1406" s="1393"/>
      <c r="H1406" s="1507"/>
      <c r="I1406" s="1508"/>
      <c r="J1406" s="1508"/>
      <c r="K1406" s="1509"/>
      <c r="L1406" s="1509"/>
      <c r="M1406" s="1509"/>
      <c r="N1406" s="1509"/>
      <c r="O1406" s="1509"/>
      <c r="P1406" s="1509"/>
      <c r="Q1406" s="1314"/>
      <c r="R1406" s="1314"/>
      <c r="S1406" s="1314"/>
      <c r="T1406" s="1314"/>
      <c r="U1406" s="1314"/>
      <c r="V1406" s="1314"/>
      <c r="W1406" s="1314"/>
      <c r="X1406" s="1314"/>
      <c r="Y1406" s="1314"/>
      <c r="Z1406" s="1314"/>
    </row>
    <row r="1407" spans="1:26" ht="18.75">
      <c r="A1407" s="1393"/>
      <c r="B1407" s="1393"/>
      <c r="C1407" s="1393"/>
      <c r="D1407" s="1506"/>
      <c r="E1407" s="1393"/>
      <c r="F1407" s="1393"/>
      <c r="G1407" s="1393"/>
      <c r="H1407" s="1507"/>
      <c r="I1407" s="1508"/>
      <c r="J1407" s="1508"/>
      <c r="K1407" s="1509"/>
      <c r="L1407" s="1509"/>
      <c r="M1407" s="1509"/>
      <c r="N1407" s="1509"/>
      <c r="O1407" s="1509"/>
      <c r="P1407" s="1509"/>
      <c r="Q1407" s="1314"/>
      <c r="R1407" s="1314"/>
      <c r="S1407" s="1314"/>
      <c r="T1407" s="1314"/>
      <c r="U1407" s="1314"/>
      <c r="V1407" s="1314"/>
      <c r="W1407" s="1314"/>
      <c r="X1407" s="1314"/>
      <c r="Y1407" s="1314"/>
      <c r="Z1407" s="1314"/>
    </row>
    <row r="1408" spans="1:26" ht="18.75">
      <c r="A1408" s="1393"/>
      <c r="B1408" s="1393"/>
      <c r="C1408" s="1393"/>
      <c r="D1408" s="1506"/>
      <c r="E1408" s="1393"/>
      <c r="F1408" s="1393"/>
      <c r="G1408" s="1393"/>
      <c r="H1408" s="1507"/>
      <c r="I1408" s="1508"/>
      <c r="J1408" s="1508"/>
      <c r="K1408" s="1509"/>
      <c r="L1408" s="1509"/>
      <c r="M1408" s="1509"/>
      <c r="N1408" s="1509"/>
      <c r="O1408" s="1509"/>
      <c r="P1408" s="1509"/>
      <c r="Q1408" s="1314"/>
      <c r="R1408" s="1314"/>
      <c r="S1408" s="1314"/>
      <c r="T1408" s="1314"/>
      <c r="U1408" s="1314"/>
      <c r="V1408" s="1314"/>
      <c r="W1408" s="1314"/>
      <c r="X1408" s="1314"/>
      <c r="Y1408" s="1314"/>
      <c r="Z1408" s="1314"/>
    </row>
    <row r="1409" spans="1:26" ht="18.75">
      <c r="A1409" s="1393"/>
      <c r="B1409" s="1393"/>
      <c r="C1409" s="1393"/>
      <c r="D1409" s="1506"/>
      <c r="E1409" s="1393"/>
      <c r="F1409" s="1393"/>
      <c r="G1409" s="1393"/>
      <c r="H1409" s="1507"/>
      <c r="I1409" s="1508"/>
      <c r="J1409" s="1508"/>
      <c r="K1409" s="1509"/>
      <c r="L1409" s="1509"/>
      <c r="M1409" s="1509"/>
      <c r="N1409" s="1509"/>
      <c r="O1409" s="1509"/>
      <c r="P1409" s="1509"/>
      <c r="Q1409" s="1314"/>
      <c r="R1409" s="1314"/>
      <c r="S1409" s="1314"/>
      <c r="T1409" s="1314"/>
      <c r="U1409" s="1314"/>
      <c r="V1409" s="1314"/>
      <c r="W1409" s="1314"/>
      <c r="X1409" s="1314"/>
      <c r="Y1409" s="1314"/>
      <c r="Z1409" s="1314"/>
    </row>
    <row r="1410" spans="1:26" ht="18.75">
      <c r="A1410" s="1393"/>
      <c r="B1410" s="1393"/>
      <c r="C1410" s="1393"/>
      <c r="D1410" s="1506"/>
      <c r="E1410" s="1393"/>
      <c r="F1410" s="1393"/>
      <c r="G1410" s="1393"/>
      <c r="H1410" s="1507"/>
      <c r="I1410" s="1508"/>
      <c r="J1410" s="1508"/>
      <c r="K1410" s="1509"/>
      <c r="L1410" s="1509"/>
      <c r="M1410" s="1509"/>
      <c r="N1410" s="1509"/>
      <c r="O1410" s="1509"/>
      <c r="P1410" s="1509"/>
      <c r="Q1410" s="1314"/>
      <c r="R1410" s="1314"/>
      <c r="S1410" s="1314"/>
      <c r="T1410" s="1314"/>
      <c r="U1410" s="1314"/>
      <c r="V1410" s="1314"/>
      <c r="W1410" s="1314"/>
      <c r="X1410" s="1314"/>
      <c r="Y1410" s="1314"/>
      <c r="Z1410" s="1314"/>
    </row>
    <row r="1411" spans="1:26" ht="18.75">
      <c r="A1411" s="1393"/>
      <c r="B1411" s="1393"/>
      <c r="C1411" s="1393"/>
      <c r="D1411" s="1506"/>
      <c r="E1411" s="1393"/>
      <c r="F1411" s="1393"/>
      <c r="G1411" s="1393"/>
      <c r="H1411" s="1507"/>
      <c r="I1411" s="1508"/>
      <c r="J1411" s="1508"/>
      <c r="K1411" s="1509"/>
      <c r="L1411" s="1509"/>
      <c r="M1411" s="1509"/>
      <c r="N1411" s="1509"/>
      <c r="O1411" s="1509"/>
      <c r="P1411" s="1509"/>
      <c r="Q1411" s="1314"/>
      <c r="R1411" s="1314"/>
      <c r="S1411" s="1314"/>
      <c r="T1411" s="1314"/>
      <c r="U1411" s="1314"/>
      <c r="V1411" s="1314"/>
      <c r="W1411" s="1314"/>
      <c r="X1411" s="1314"/>
      <c r="Y1411" s="1314"/>
      <c r="Z1411" s="1314"/>
    </row>
    <row r="1412" spans="1:26" ht="18.75">
      <c r="A1412" s="1393"/>
      <c r="B1412" s="1393"/>
      <c r="C1412" s="1393"/>
      <c r="D1412" s="1506"/>
      <c r="E1412" s="1393"/>
      <c r="F1412" s="1393"/>
      <c r="G1412" s="1393"/>
      <c r="H1412" s="1507"/>
      <c r="I1412" s="1508"/>
      <c r="J1412" s="1508"/>
      <c r="K1412" s="1509"/>
      <c r="L1412" s="1509"/>
      <c r="M1412" s="1509"/>
      <c r="N1412" s="1509"/>
      <c r="O1412" s="1509"/>
      <c r="P1412" s="1509"/>
      <c r="Q1412" s="1314"/>
      <c r="R1412" s="1314"/>
      <c r="S1412" s="1314"/>
      <c r="T1412" s="1314"/>
      <c r="U1412" s="1314"/>
      <c r="V1412" s="1314"/>
      <c r="W1412" s="1314"/>
      <c r="X1412" s="1314"/>
      <c r="Y1412" s="1314"/>
      <c r="Z1412" s="1314"/>
    </row>
    <row r="1413" spans="1:26" ht="18.75">
      <c r="A1413" s="1393"/>
      <c r="B1413" s="1393"/>
      <c r="C1413" s="1393"/>
      <c r="D1413" s="1506"/>
      <c r="E1413" s="1393"/>
      <c r="F1413" s="1393"/>
      <c r="G1413" s="1393"/>
      <c r="H1413" s="1507"/>
      <c r="I1413" s="1508"/>
      <c r="J1413" s="1508"/>
      <c r="K1413" s="1509"/>
      <c r="L1413" s="1509"/>
      <c r="M1413" s="1509"/>
      <c r="N1413" s="1509"/>
      <c r="O1413" s="1509"/>
      <c r="P1413" s="1509"/>
      <c r="Q1413" s="1314"/>
      <c r="R1413" s="1314"/>
      <c r="S1413" s="1314"/>
      <c r="T1413" s="1314"/>
      <c r="U1413" s="1314"/>
      <c r="V1413" s="1314"/>
      <c r="W1413" s="1314"/>
      <c r="X1413" s="1314"/>
      <c r="Y1413" s="1314"/>
      <c r="Z1413" s="1314"/>
    </row>
    <row r="1414" spans="1:26" ht="18.75">
      <c r="A1414" s="1393"/>
      <c r="B1414" s="1393"/>
      <c r="C1414" s="1393"/>
      <c r="D1414" s="1506"/>
      <c r="E1414" s="1393"/>
      <c r="F1414" s="1393"/>
      <c r="G1414" s="1393"/>
      <c r="H1414" s="1507"/>
      <c r="I1414" s="1508"/>
      <c r="J1414" s="1508"/>
      <c r="K1414" s="1509"/>
      <c r="L1414" s="1509"/>
      <c r="M1414" s="1509"/>
      <c r="N1414" s="1509"/>
      <c r="O1414" s="1509"/>
      <c r="P1414" s="1509"/>
      <c r="Q1414" s="1314"/>
      <c r="R1414" s="1314"/>
      <c r="S1414" s="1314"/>
      <c r="T1414" s="1314"/>
      <c r="U1414" s="1314"/>
      <c r="V1414" s="1314"/>
      <c r="W1414" s="1314"/>
      <c r="X1414" s="1314"/>
      <c r="Y1414" s="1314"/>
      <c r="Z1414" s="1314"/>
    </row>
    <row r="1415" spans="1:26" ht="18.75">
      <c r="A1415" s="1393"/>
      <c r="B1415" s="1393"/>
      <c r="C1415" s="1393"/>
      <c r="D1415" s="1506"/>
      <c r="E1415" s="1393"/>
      <c r="F1415" s="1393"/>
      <c r="G1415" s="1393"/>
      <c r="H1415" s="1507"/>
      <c r="I1415" s="1508"/>
      <c r="J1415" s="1508"/>
      <c r="K1415" s="1509"/>
      <c r="L1415" s="1509"/>
      <c r="M1415" s="1509"/>
      <c r="N1415" s="1509"/>
      <c r="O1415" s="1509"/>
      <c r="P1415" s="1509"/>
      <c r="Q1415" s="1314"/>
      <c r="R1415" s="1314"/>
      <c r="S1415" s="1314"/>
      <c r="T1415" s="1314"/>
      <c r="U1415" s="1314"/>
      <c r="V1415" s="1314"/>
      <c r="W1415" s="1314"/>
      <c r="X1415" s="1314"/>
      <c r="Y1415" s="1314"/>
      <c r="Z1415" s="1314"/>
    </row>
    <row r="1416" spans="1:26" ht="18.75">
      <c r="A1416" s="1393"/>
      <c r="B1416" s="1393"/>
      <c r="C1416" s="1393"/>
      <c r="D1416" s="1506"/>
      <c r="E1416" s="1393"/>
      <c r="F1416" s="1393"/>
      <c r="G1416" s="1393"/>
      <c r="H1416" s="1507"/>
      <c r="I1416" s="1508"/>
      <c r="J1416" s="1508"/>
      <c r="K1416" s="1509"/>
      <c r="L1416" s="1509"/>
      <c r="M1416" s="1509"/>
      <c r="N1416" s="1509"/>
      <c r="O1416" s="1509"/>
      <c r="P1416" s="1509"/>
      <c r="Q1416" s="1314"/>
      <c r="R1416" s="1314"/>
      <c r="S1416" s="1314"/>
      <c r="T1416" s="1314"/>
      <c r="U1416" s="1314"/>
      <c r="V1416" s="1314"/>
      <c r="W1416" s="1314"/>
      <c r="X1416" s="1314"/>
      <c r="Y1416" s="1314"/>
      <c r="Z1416" s="1314"/>
    </row>
    <row r="1417" spans="1:26" ht="18.75">
      <c r="A1417" s="1393"/>
      <c r="B1417" s="1393"/>
      <c r="C1417" s="1393"/>
      <c r="D1417" s="1506"/>
      <c r="E1417" s="1393"/>
      <c r="F1417" s="1393"/>
      <c r="G1417" s="1393"/>
      <c r="H1417" s="1507"/>
      <c r="I1417" s="1508"/>
      <c r="J1417" s="1508"/>
      <c r="K1417" s="1509"/>
      <c r="L1417" s="1509"/>
      <c r="M1417" s="1509"/>
      <c r="N1417" s="1509"/>
      <c r="O1417" s="1509"/>
      <c r="P1417" s="1509"/>
      <c r="Q1417" s="1314"/>
      <c r="R1417" s="1314"/>
      <c r="S1417" s="1314"/>
      <c r="T1417" s="1314"/>
      <c r="U1417" s="1314"/>
      <c r="V1417" s="1314"/>
      <c r="W1417" s="1314"/>
      <c r="X1417" s="1314"/>
      <c r="Y1417" s="1314"/>
      <c r="Z1417" s="1314"/>
    </row>
    <row r="1418" spans="1:26" ht="18.75">
      <c r="A1418" s="1393"/>
      <c r="B1418" s="1393"/>
      <c r="C1418" s="1393"/>
      <c r="D1418" s="1506"/>
      <c r="E1418" s="1393"/>
      <c r="F1418" s="1393"/>
      <c r="G1418" s="1393"/>
      <c r="H1418" s="1507"/>
      <c r="I1418" s="1508"/>
      <c r="J1418" s="1508"/>
      <c r="K1418" s="1509"/>
      <c r="L1418" s="1509"/>
      <c r="M1418" s="1509"/>
      <c r="N1418" s="1509"/>
      <c r="O1418" s="1509"/>
      <c r="P1418" s="1509"/>
      <c r="Q1418" s="1314"/>
      <c r="R1418" s="1314"/>
      <c r="S1418" s="1314"/>
      <c r="T1418" s="1314"/>
      <c r="U1418" s="1314"/>
      <c r="V1418" s="1314"/>
      <c r="W1418" s="1314"/>
      <c r="X1418" s="1314"/>
      <c r="Y1418" s="1314"/>
      <c r="Z1418" s="1314"/>
    </row>
    <row r="1419" spans="1:26" ht="18.75">
      <c r="A1419" s="1393"/>
      <c r="B1419" s="1393"/>
      <c r="C1419" s="1393"/>
      <c r="D1419" s="1506"/>
      <c r="E1419" s="1393"/>
      <c r="F1419" s="1393"/>
      <c r="G1419" s="1393"/>
      <c r="H1419" s="1507"/>
      <c r="I1419" s="1508"/>
      <c r="J1419" s="1508"/>
      <c r="K1419" s="1509"/>
      <c r="L1419" s="1509"/>
      <c r="M1419" s="1509"/>
      <c r="N1419" s="1509"/>
      <c r="O1419" s="1509"/>
      <c r="P1419" s="1509"/>
      <c r="Q1419" s="1314"/>
      <c r="R1419" s="1314"/>
      <c r="S1419" s="1314"/>
      <c r="T1419" s="1314"/>
      <c r="U1419" s="1314"/>
      <c r="V1419" s="1314"/>
      <c r="W1419" s="1314"/>
      <c r="X1419" s="1314"/>
      <c r="Y1419" s="1314"/>
      <c r="Z1419" s="1314"/>
    </row>
    <row r="1420" spans="1:26" ht="18.75">
      <c r="A1420" s="1393"/>
      <c r="B1420" s="1393"/>
      <c r="C1420" s="1393"/>
      <c r="D1420" s="1506"/>
      <c r="E1420" s="1393"/>
      <c r="F1420" s="1393"/>
      <c r="G1420" s="1393"/>
      <c r="H1420" s="1507"/>
      <c r="I1420" s="1508"/>
      <c r="J1420" s="1508"/>
      <c r="K1420" s="1509"/>
      <c r="L1420" s="1509"/>
      <c r="M1420" s="1509"/>
      <c r="N1420" s="1509"/>
      <c r="O1420" s="1509"/>
      <c r="P1420" s="1509"/>
      <c r="Q1420" s="1314"/>
      <c r="R1420" s="1314"/>
      <c r="S1420" s="1314"/>
      <c r="T1420" s="1314"/>
      <c r="U1420" s="1314"/>
      <c r="V1420" s="1314"/>
      <c r="W1420" s="1314"/>
      <c r="X1420" s="1314"/>
      <c r="Y1420" s="1314"/>
      <c r="Z1420" s="1314"/>
    </row>
    <row r="1421" spans="1:26" ht="18.75">
      <c r="A1421" s="1393"/>
      <c r="B1421" s="1393"/>
      <c r="C1421" s="1393"/>
      <c r="D1421" s="1506"/>
      <c r="E1421" s="1393"/>
      <c r="F1421" s="1393"/>
      <c r="G1421" s="1393"/>
      <c r="H1421" s="1507"/>
      <c r="I1421" s="1508"/>
      <c r="J1421" s="1508"/>
      <c r="K1421" s="1509"/>
      <c r="L1421" s="1509"/>
      <c r="M1421" s="1509"/>
      <c r="N1421" s="1509"/>
      <c r="O1421" s="1509"/>
      <c r="P1421" s="1509"/>
      <c r="Q1421" s="1314"/>
      <c r="R1421" s="1314"/>
      <c r="S1421" s="1314"/>
      <c r="T1421" s="1314"/>
      <c r="U1421" s="1314"/>
      <c r="V1421" s="1314"/>
      <c r="W1421" s="1314"/>
      <c r="X1421" s="1314"/>
      <c r="Y1421" s="1314"/>
      <c r="Z1421" s="1314"/>
    </row>
    <row r="1422" spans="1:26" ht="18.75">
      <c r="A1422" s="1393"/>
      <c r="B1422" s="1393"/>
      <c r="C1422" s="1393"/>
      <c r="D1422" s="1506"/>
      <c r="E1422" s="1393"/>
      <c r="F1422" s="1393"/>
      <c r="G1422" s="1393"/>
      <c r="H1422" s="1507"/>
      <c r="I1422" s="1508"/>
      <c r="J1422" s="1508"/>
      <c r="K1422" s="1509"/>
      <c r="L1422" s="1509"/>
      <c r="M1422" s="1509"/>
      <c r="N1422" s="1509"/>
      <c r="O1422" s="1509"/>
      <c r="P1422" s="1509"/>
      <c r="Q1422" s="1314"/>
      <c r="R1422" s="1314"/>
      <c r="S1422" s="1314"/>
      <c r="T1422" s="1314"/>
      <c r="U1422" s="1314"/>
      <c r="V1422" s="1314"/>
      <c r="W1422" s="1314"/>
      <c r="X1422" s="1314"/>
      <c r="Y1422" s="1314"/>
      <c r="Z1422" s="1314"/>
    </row>
    <row r="1423" spans="1:26" ht="18.75">
      <c r="A1423" s="1393"/>
      <c r="B1423" s="1393"/>
      <c r="C1423" s="1393"/>
      <c r="D1423" s="1506"/>
      <c r="E1423" s="1393"/>
      <c r="F1423" s="1393"/>
      <c r="G1423" s="1393"/>
      <c r="H1423" s="1507"/>
      <c r="I1423" s="1508"/>
      <c r="J1423" s="1508"/>
      <c r="K1423" s="1509"/>
      <c r="L1423" s="1509"/>
      <c r="M1423" s="1509"/>
      <c r="N1423" s="1509"/>
      <c r="O1423" s="1509"/>
      <c r="P1423" s="1509"/>
      <c r="Q1423" s="1314"/>
      <c r="R1423" s="1314"/>
      <c r="S1423" s="1314"/>
      <c r="T1423" s="1314"/>
      <c r="U1423" s="1314"/>
      <c r="V1423" s="1314"/>
      <c r="W1423" s="1314"/>
      <c r="X1423" s="1314"/>
      <c r="Y1423" s="1314"/>
      <c r="Z1423" s="1314"/>
    </row>
    <row r="1424" spans="1:26" ht="18.75">
      <c r="A1424" s="1393"/>
      <c r="B1424" s="1393"/>
      <c r="C1424" s="1393"/>
      <c r="D1424" s="1506"/>
      <c r="E1424" s="1393"/>
      <c r="F1424" s="1393"/>
      <c r="G1424" s="1393"/>
      <c r="H1424" s="1507"/>
      <c r="I1424" s="1508"/>
      <c r="J1424" s="1508"/>
      <c r="K1424" s="1509"/>
      <c r="L1424" s="1509"/>
      <c r="M1424" s="1509"/>
      <c r="N1424" s="1509"/>
      <c r="O1424" s="1509"/>
      <c r="P1424" s="1509"/>
      <c r="Q1424" s="1314"/>
      <c r="R1424" s="1314"/>
      <c r="S1424" s="1314"/>
      <c r="T1424" s="1314"/>
      <c r="U1424" s="1314"/>
      <c r="V1424" s="1314"/>
      <c r="W1424" s="1314"/>
      <c r="X1424" s="1314"/>
      <c r="Y1424" s="1314"/>
      <c r="Z1424" s="1314"/>
    </row>
    <row r="1425" spans="1:26" ht="18.75">
      <c r="A1425" s="1393"/>
      <c r="B1425" s="1393"/>
      <c r="C1425" s="1393"/>
      <c r="D1425" s="1506"/>
      <c r="E1425" s="1393"/>
      <c r="F1425" s="1393"/>
      <c r="G1425" s="1393"/>
      <c r="H1425" s="1507"/>
      <c r="I1425" s="1508"/>
      <c r="J1425" s="1508"/>
      <c r="K1425" s="1509"/>
      <c r="L1425" s="1509"/>
      <c r="M1425" s="1509"/>
      <c r="N1425" s="1509"/>
      <c r="O1425" s="1509"/>
      <c r="P1425" s="1509"/>
      <c r="Q1425" s="1314"/>
      <c r="R1425" s="1314"/>
      <c r="S1425" s="1314"/>
      <c r="T1425" s="1314"/>
      <c r="U1425" s="1314"/>
      <c r="V1425" s="1314"/>
      <c r="W1425" s="1314"/>
      <c r="X1425" s="1314"/>
      <c r="Y1425" s="1314"/>
      <c r="Z1425" s="1314"/>
    </row>
    <row r="1426" spans="1:26" ht="18.75">
      <c r="A1426" s="1393"/>
      <c r="B1426" s="1393"/>
      <c r="C1426" s="1393"/>
      <c r="D1426" s="1506"/>
      <c r="E1426" s="1393"/>
      <c r="F1426" s="1393"/>
      <c r="G1426" s="1393"/>
      <c r="H1426" s="1507"/>
      <c r="I1426" s="1508"/>
      <c r="J1426" s="1508"/>
      <c r="K1426" s="1509"/>
      <c r="L1426" s="1509"/>
      <c r="M1426" s="1509"/>
      <c r="N1426" s="1509"/>
      <c r="O1426" s="1509"/>
      <c r="P1426" s="1509"/>
      <c r="Q1426" s="1314"/>
      <c r="R1426" s="1314"/>
      <c r="S1426" s="1314"/>
      <c r="T1426" s="1314"/>
      <c r="U1426" s="1314"/>
      <c r="V1426" s="1314"/>
      <c r="W1426" s="1314"/>
      <c r="X1426" s="1314"/>
      <c r="Y1426" s="1314"/>
      <c r="Z1426" s="1314"/>
    </row>
    <row r="1427" spans="1:26" ht="18.75">
      <c r="A1427" s="1393"/>
      <c r="B1427" s="1393"/>
      <c r="C1427" s="1393"/>
      <c r="D1427" s="1506"/>
      <c r="E1427" s="1393"/>
      <c r="F1427" s="1393"/>
      <c r="G1427" s="1393"/>
      <c r="H1427" s="1507"/>
      <c r="I1427" s="1508"/>
      <c r="J1427" s="1508"/>
      <c r="K1427" s="1509"/>
      <c r="L1427" s="1509"/>
      <c r="M1427" s="1509"/>
      <c r="N1427" s="1509"/>
      <c r="O1427" s="1509"/>
      <c r="P1427" s="1509"/>
      <c r="Q1427" s="1314"/>
      <c r="R1427" s="1314"/>
      <c r="S1427" s="1314"/>
      <c r="T1427" s="1314"/>
      <c r="U1427" s="1314"/>
      <c r="V1427" s="1314"/>
      <c r="W1427" s="1314"/>
      <c r="X1427" s="1314"/>
      <c r="Y1427" s="1314"/>
      <c r="Z1427" s="1314"/>
    </row>
    <row r="1428" spans="1:26" ht="18.75">
      <c r="A1428" s="1393"/>
      <c r="B1428" s="1393"/>
      <c r="C1428" s="1393"/>
      <c r="D1428" s="1506"/>
      <c r="E1428" s="1393"/>
      <c r="F1428" s="1393"/>
      <c r="G1428" s="1393"/>
      <c r="H1428" s="1507"/>
      <c r="I1428" s="1508"/>
      <c r="J1428" s="1508"/>
      <c r="K1428" s="1509"/>
      <c r="L1428" s="1509"/>
      <c r="M1428" s="1509"/>
      <c r="N1428" s="1509"/>
      <c r="O1428" s="1509"/>
      <c r="P1428" s="1509"/>
      <c r="Q1428" s="1314"/>
      <c r="R1428" s="1314"/>
      <c r="S1428" s="1314"/>
      <c r="T1428" s="1314"/>
      <c r="U1428" s="1314"/>
      <c r="V1428" s="1314"/>
      <c r="W1428" s="1314"/>
      <c r="X1428" s="1314"/>
      <c r="Y1428" s="1314"/>
      <c r="Z1428" s="1314"/>
    </row>
    <row r="1429" spans="1:26" ht="18.75">
      <c r="A1429" s="1393"/>
      <c r="B1429" s="1393"/>
      <c r="C1429" s="1393"/>
      <c r="D1429" s="1506"/>
      <c r="E1429" s="1393"/>
      <c r="F1429" s="1393"/>
      <c r="G1429" s="1393"/>
      <c r="H1429" s="1507"/>
      <c r="I1429" s="1508"/>
      <c r="J1429" s="1508"/>
      <c r="K1429" s="1509"/>
      <c r="L1429" s="1509"/>
      <c r="M1429" s="1509"/>
      <c r="N1429" s="1509"/>
      <c r="O1429" s="1509"/>
      <c r="P1429" s="1509"/>
      <c r="Q1429" s="1314"/>
      <c r="R1429" s="1314"/>
      <c r="S1429" s="1314"/>
      <c r="T1429" s="1314"/>
      <c r="U1429" s="1314"/>
      <c r="V1429" s="1314"/>
      <c r="W1429" s="1314"/>
      <c r="X1429" s="1314"/>
      <c r="Y1429" s="1314"/>
      <c r="Z1429" s="1314"/>
    </row>
    <row r="1430" spans="1:26" ht="18.75">
      <c r="A1430" s="1393"/>
      <c r="B1430" s="1393"/>
      <c r="C1430" s="1393"/>
      <c r="D1430" s="1506"/>
      <c r="E1430" s="1393"/>
      <c r="F1430" s="1393"/>
      <c r="G1430" s="1393"/>
      <c r="H1430" s="1507"/>
      <c r="I1430" s="1508"/>
      <c r="J1430" s="1508"/>
      <c r="K1430" s="1509"/>
      <c r="L1430" s="1509"/>
      <c r="M1430" s="1509"/>
      <c r="N1430" s="1509"/>
      <c r="O1430" s="1509"/>
      <c r="P1430" s="1509"/>
      <c r="Q1430" s="1314"/>
      <c r="R1430" s="1314"/>
      <c r="S1430" s="1314"/>
      <c r="T1430" s="1314"/>
      <c r="U1430" s="1314"/>
      <c r="V1430" s="1314"/>
      <c r="W1430" s="1314"/>
      <c r="X1430" s="1314"/>
      <c r="Y1430" s="1314"/>
      <c r="Z1430" s="1314"/>
    </row>
    <row r="1431" spans="1:26" ht="18.75">
      <c r="A1431" s="1393"/>
      <c r="B1431" s="1393"/>
      <c r="C1431" s="1393"/>
      <c r="D1431" s="1506"/>
      <c r="E1431" s="1393"/>
      <c r="F1431" s="1393"/>
      <c r="G1431" s="1393"/>
      <c r="H1431" s="1507"/>
      <c r="I1431" s="1508"/>
      <c r="J1431" s="1508"/>
      <c r="K1431" s="1509"/>
      <c r="L1431" s="1509"/>
      <c r="M1431" s="1509"/>
      <c r="N1431" s="1509"/>
      <c r="O1431" s="1509"/>
      <c r="P1431" s="1509"/>
      <c r="Q1431" s="1314"/>
      <c r="R1431" s="1314"/>
      <c r="S1431" s="1314"/>
      <c r="T1431" s="1314"/>
      <c r="U1431" s="1314"/>
      <c r="V1431" s="1314"/>
      <c r="W1431" s="1314"/>
      <c r="X1431" s="1314"/>
      <c r="Y1431" s="1314"/>
      <c r="Z1431" s="1314"/>
    </row>
    <row r="1432" spans="1:26" ht="18.75">
      <c r="A1432" s="1393"/>
      <c r="B1432" s="1393"/>
      <c r="C1432" s="1393"/>
      <c r="D1432" s="1506"/>
      <c r="E1432" s="1393"/>
      <c r="F1432" s="1393"/>
      <c r="G1432" s="1393"/>
      <c r="H1432" s="1507"/>
      <c r="I1432" s="1508"/>
      <c r="J1432" s="1508"/>
      <c r="K1432" s="1509"/>
      <c r="L1432" s="1509"/>
      <c r="M1432" s="1509"/>
      <c r="N1432" s="1509"/>
      <c r="O1432" s="1509"/>
      <c r="P1432" s="1509"/>
      <c r="Q1432" s="1314"/>
      <c r="R1432" s="1314"/>
      <c r="S1432" s="1314"/>
      <c r="T1432" s="1314"/>
      <c r="U1432" s="1314"/>
      <c r="V1432" s="1314"/>
      <c r="W1432" s="1314"/>
      <c r="X1432" s="1314"/>
      <c r="Y1432" s="1314"/>
      <c r="Z1432" s="1314"/>
    </row>
    <row r="1433" spans="1:26" ht="18.75">
      <c r="A1433" s="1393"/>
      <c r="B1433" s="1393"/>
      <c r="C1433" s="1393"/>
      <c r="D1433" s="1506"/>
      <c r="E1433" s="1393"/>
      <c r="F1433" s="1393"/>
      <c r="G1433" s="1393"/>
      <c r="H1433" s="1507"/>
      <c r="I1433" s="1508"/>
      <c r="J1433" s="1508"/>
      <c r="K1433" s="1509"/>
      <c r="L1433" s="1509"/>
      <c r="M1433" s="1509"/>
      <c r="N1433" s="1509"/>
      <c r="O1433" s="1509"/>
      <c r="P1433" s="1509"/>
      <c r="Q1433" s="1314"/>
      <c r="R1433" s="1314"/>
      <c r="S1433" s="1314"/>
      <c r="T1433" s="1314"/>
      <c r="U1433" s="1314"/>
      <c r="V1433" s="1314"/>
      <c r="W1433" s="1314"/>
      <c r="X1433" s="1314"/>
      <c r="Y1433" s="1314"/>
      <c r="Z1433" s="1314"/>
    </row>
    <row r="1434" spans="1:26" ht="18.75">
      <c r="A1434" s="1393"/>
      <c r="B1434" s="1393"/>
      <c r="C1434" s="1393"/>
      <c r="D1434" s="1506"/>
      <c r="E1434" s="1393"/>
      <c r="F1434" s="1393"/>
      <c r="G1434" s="1393"/>
      <c r="H1434" s="1507"/>
      <c r="I1434" s="1508"/>
      <c r="J1434" s="1508"/>
      <c r="K1434" s="1509"/>
      <c r="L1434" s="1509"/>
      <c r="M1434" s="1509"/>
      <c r="N1434" s="1509"/>
      <c r="O1434" s="1509"/>
      <c r="P1434" s="1509"/>
      <c r="Q1434" s="1314"/>
      <c r="R1434" s="1314"/>
      <c r="S1434" s="1314"/>
      <c r="T1434" s="1314"/>
      <c r="U1434" s="1314"/>
      <c r="V1434" s="1314"/>
      <c r="W1434" s="1314"/>
      <c r="X1434" s="1314"/>
      <c r="Y1434" s="1314"/>
      <c r="Z1434" s="1314"/>
    </row>
    <row r="1435" spans="1:26" ht="18.75">
      <c r="A1435" s="1393"/>
      <c r="B1435" s="1393"/>
      <c r="C1435" s="1393"/>
      <c r="D1435" s="1506"/>
      <c r="E1435" s="1393"/>
      <c r="F1435" s="1393"/>
      <c r="G1435" s="1393"/>
      <c r="H1435" s="1507"/>
      <c r="I1435" s="1508"/>
      <c r="J1435" s="1508"/>
      <c r="K1435" s="1509"/>
      <c r="L1435" s="1509"/>
      <c r="M1435" s="1509"/>
      <c r="N1435" s="1509"/>
      <c r="O1435" s="1509"/>
      <c r="P1435" s="1509"/>
      <c r="Q1435" s="1314"/>
      <c r="R1435" s="1314"/>
      <c r="S1435" s="1314"/>
      <c r="T1435" s="1314"/>
      <c r="U1435" s="1314"/>
      <c r="V1435" s="1314"/>
      <c r="W1435" s="1314"/>
      <c r="X1435" s="1314"/>
      <c r="Y1435" s="1314"/>
      <c r="Z1435" s="1314"/>
    </row>
    <row r="1436" spans="1:26" ht="18.75">
      <c r="A1436" s="1393"/>
      <c r="B1436" s="1393"/>
      <c r="C1436" s="1393"/>
      <c r="D1436" s="1506"/>
      <c r="E1436" s="1393"/>
      <c r="F1436" s="1393"/>
      <c r="G1436" s="1393"/>
      <c r="H1436" s="1507"/>
      <c r="I1436" s="1508"/>
      <c r="J1436" s="1508"/>
      <c r="K1436" s="1509"/>
      <c r="L1436" s="1509"/>
      <c r="M1436" s="1509"/>
      <c r="N1436" s="1509"/>
      <c r="O1436" s="1509"/>
      <c r="P1436" s="1509"/>
      <c r="Q1436" s="1314"/>
      <c r="R1436" s="1314"/>
      <c r="S1436" s="1314"/>
      <c r="T1436" s="1314"/>
      <c r="U1436" s="1314"/>
      <c r="V1436" s="1314"/>
      <c r="W1436" s="1314"/>
      <c r="X1436" s="1314"/>
      <c r="Y1436" s="1314"/>
      <c r="Z1436" s="1314"/>
    </row>
    <row r="1437" spans="1:26" ht="18.75">
      <c r="A1437" s="1393"/>
      <c r="B1437" s="1393"/>
      <c r="C1437" s="1393"/>
      <c r="D1437" s="1506"/>
      <c r="E1437" s="1393"/>
      <c r="F1437" s="1393"/>
      <c r="G1437" s="1393"/>
      <c r="H1437" s="1507"/>
      <c r="I1437" s="1508"/>
      <c r="J1437" s="1508"/>
      <c r="K1437" s="1509"/>
      <c r="L1437" s="1509"/>
      <c r="M1437" s="1509"/>
      <c r="N1437" s="1509"/>
      <c r="O1437" s="1509"/>
      <c r="P1437" s="1509"/>
      <c r="Q1437" s="1314"/>
      <c r="R1437" s="1314"/>
      <c r="S1437" s="1314"/>
      <c r="T1437" s="1314"/>
      <c r="U1437" s="1314"/>
      <c r="V1437" s="1314"/>
      <c r="W1437" s="1314"/>
      <c r="X1437" s="1314"/>
      <c r="Y1437" s="1314"/>
      <c r="Z1437" s="1314"/>
    </row>
    <row r="1438" spans="1:26" ht="18.75">
      <c r="A1438" s="1393"/>
      <c r="B1438" s="1393"/>
      <c r="C1438" s="1393"/>
      <c r="D1438" s="1506"/>
      <c r="E1438" s="1393"/>
      <c r="F1438" s="1393"/>
      <c r="G1438" s="1393"/>
      <c r="H1438" s="1507"/>
      <c r="I1438" s="1508"/>
      <c r="J1438" s="1508"/>
      <c r="K1438" s="1509"/>
      <c r="L1438" s="1509"/>
      <c r="M1438" s="1509"/>
      <c r="N1438" s="1509"/>
      <c r="O1438" s="1509"/>
      <c r="P1438" s="1509"/>
      <c r="Q1438" s="1314"/>
      <c r="R1438" s="1314"/>
      <c r="S1438" s="1314"/>
      <c r="T1438" s="1314"/>
      <c r="U1438" s="1314"/>
      <c r="V1438" s="1314"/>
      <c r="W1438" s="1314"/>
      <c r="X1438" s="1314"/>
      <c r="Y1438" s="1314"/>
      <c r="Z1438" s="1314"/>
    </row>
    <row r="1439" spans="1:26" ht="18.75">
      <c r="A1439" s="1393"/>
      <c r="B1439" s="1393"/>
      <c r="C1439" s="1393"/>
      <c r="D1439" s="1506"/>
      <c r="E1439" s="1393"/>
      <c r="F1439" s="1393"/>
      <c r="G1439" s="1393"/>
      <c r="H1439" s="1507"/>
      <c r="I1439" s="1508"/>
      <c r="J1439" s="1508"/>
      <c r="K1439" s="1509"/>
      <c r="L1439" s="1509"/>
      <c r="M1439" s="1509"/>
      <c r="N1439" s="1509"/>
      <c r="O1439" s="1509"/>
      <c r="P1439" s="1509"/>
      <c r="Q1439" s="1314"/>
      <c r="R1439" s="1314"/>
      <c r="S1439" s="1314"/>
      <c r="T1439" s="1314"/>
      <c r="U1439" s="1314"/>
      <c r="V1439" s="1314"/>
      <c r="W1439" s="1314"/>
      <c r="X1439" s="1314"/>
      <c r="Y1439" s="1314"/>
      <c r="Z1439" s="1314"/>
    </row>
    <row r="1440" spans="1:26" ht="18.75">
      <c r="A1440" s="1393"/>
      <c r="B1440" s="1393"/>
      <c r="C1440" s="1393"/>
      <c r="D1440" s="1506"/>
      <c r="E1440" s="1393"/>
      <c r="F1440" s="1393"/>
      <c r="G1440" s="1393"/>
      <c r="H1440" s="1507"/>
      <c r="I1440" s="1508"/>
      <c r="J1440" s="1508"/>
      <c r="K1440" s="1509"/>
      <c r="L1440" s="1509"/>
      <c r="M1440" s="1509"/>
      <c r="N1440" s="1509"/>
      <c r="O1440" s="1509"/>
      <c r="P1440" s="1509"/>
      <c r="Q1440" s="1314"/>
      <c r="R1440" s="1314"/>
      <c r="S1440" s="1314"/>
      <c r="T1440" s="1314"/>
      <c r="U1440" s="1314"/>
      <c r="V1440" s="1314"/>
      <c r="W1440" s="1314"/>
      <c r="X1440" s="1314"/>
      <c r="Y1440" s="1314"/>
      <c r="Z1440" s="1314"/>
    </row>
    <row r="1441" spans="1:26" ht="18.75">
      <c r="A1441" s="1393"/>
      <c r="B1441" s="1393"/>
      <c r="C1441" s="1393"/>
      <c r="D1441" s="1506"/>
      <c r="E1441" s="1393"/>
      <c r="F1441" s="1393"/>
      <c r="G1441" s="1393"/>
      <c r="H1441" s="1507"/>
      <c r="I1441" s="1508"/>
      <c r="J1441" s="1508"/>
      <c r="K1441" s="1509"/>
      <c r="L1441" s="1509"/>
      <c r="M1441" s="1509"/>
      <c r="N1441" s="1509"/>
      <c r="O1441" s="1509"/>
      <c r="P1441" s="1509"/>
      <c r="Q1441" s="1314"/>
      <c r="R1441" s="1314"/>
      <c r="S1441" s="1314"/>
      <c r="T1441" s="1314"/>
      <c r="U1441" s="1314"/>
      <c r="V1441" s="1314"/>
      <c r="W1441" s="1314"/>
      <c r="X1441" s="1314"/>
      <c r="Y1441" s="1314"/>
      <c r="Z1441" s="1314"/>
    </row>
    <row r="1442" spans="1:26" ht="18.75">
      <c r="A1442" s="1393"/>
      <c r="B1442" s="1393"/>
      <c r="C1442" s="1393"/>
      <c r="D1442" s="1506"/>
      <c r="E1442" s="1393"/>
      <c r="F1442" s="1393"/>
      <c r="G1442" s="1393"/>
      <c r="H1442" s="1507"/>
      <c r="I1442" s="1508"/>
      <c r="J1442" s="1508"/>
      <c r="K1442" s="1509"/>
      <c r="L1442" s="1509"/>
      <c r="M1442" s="1509"/>
      <c r="N1442" s="1509"/>
      <c r="O1442" s="1509"/>
      <c r="P1442" s="1509"/>
      <c r="Q1442" s="1314"/>
      <c r="R1442" s="1314"/>
      <c r="S1442" s="1314"/>
      <c r="T1442" s="1314"/>
      <c r="U1442" s="1314"/>
      <c r="V1442" s="1314"/>
      <c r="W1442" s="1314"/>
      <c r="X1442" s="1314"/>
      <c r="Y1442" s="1314"/>
      <c r="Z1442" s="1314"/>
    </row>
    <row r="1443" spans="1:26" ht="18.75">
      <c r="A1443" s="1393"/>
      <c r="B1443" s="1393"/>
      <c r="C1443" s="1393"/>
      <c r="D1443" s="1506"/>
      <c r="E1443" s="1393"/>
      <c r="F1443" s="1393"/>
      <c r="G1443" s="1393"/>
      <c r="H1443" s="1507"/>
      <c r="I1443" s="1508"/>
      <c r="J1443" s="1508"/>
      <c r="K1443" s="1509"/>
      <c r="L1443" s="1509"/>
      <c r="M1443" s="1509"/>
      <c r="N1443" s="1509"/>
      <c r="O1443" s="1509"/>
      <c r="P1443" s="1509"/>
      <c r="Q1443" s="1314"/>
      <c r="R1443" s="1314"/>
      <c r="S1443" s="1314"/>
      <c r="T1443" s="1314"/>
      <c r="U1443" s="1314"/>
      <c r="V1443" s="1314"/>
      <c r="W1443" s="1314"/>
      <c r="X1443" s="1314"/>
      <c r="Y1443" s="1314"/>
      <c r="Z1443" s="1314"/>
    </row>
    <row r="1444" spans="1:26" ht="18.75">
      <c r="A1444" s="1393"/>
      <c r="B1444" s="1393"/>
      <c r="C1444" s="1393"/>
      <c r="D1444" s="1506"/>
      <c r="E1444" s="1393"/>
      <c r="F1444" s="1393"/>
      <c r="G1444" s="1393"/>
      <c r="H1444" s="1507"/>
      <c r="I1444" s="1508"/>
      <c r="J1444" s="1508"/>
      <c r="K1444" s="1509"/>
      <c r="L1444" s="1509"/>
      <c r="M1444" s="1509"/>
      <c r="N1444" s="1509"/>
      <c r="O1444" s="1509"/>
      <c r="P1444" s="1509"/>
      <c r="Q1444" s="1314"/>
      <c r="R1444" s="1314"/>
      <c r="S1444" s="1314"/>
      <c r="T1444" s="1314"/>
      <c r="U1444" s="1314"/>
      <c r="V1444" s="1314"/>
      <c r="W1444" s="1314"/>
      <c r="X1444" s="1314"/>
      <c r="Y1444" s="1314"/>
      <c r="Z1444" s="1314"/>
    </row>
    <row r="1445" spans="1:26" ht="18.75">
      <c r="A1445" s="1393"/>
      <c r="B1445" s="1393"/>
      <c r="C1445" s="1393"/>
      <c r="D1445" s="1506"/>
      <c r="E1445" s="1393"/>
      <c r="F1445" s="1393"/>
      <c r="G1445" s="1393"/>
      <c r="H1445" s="1507"/>
      <c r="I1445" s="1508"/>
      <c r="J1445" s="1508"/>
      <c r="K1445" s="1509"/>
      <c r="L1445" s="1509"/>
      <c r="M1445" s="1509"/>
      <c r="N1445" s="1509"/>
      <c r="O1445" s="1509"/>
      <c r="P1445" s="1509"/>
      <c r="Q1445" s="1314"/>
      <c r="R1445" s="1314"/>
      <c r="S1445" s="1314"/>
      <c r="T1445" s="1314"/>
      <c r="U1445" s="1314"/>
      <c r="V1445" s="1314"/>
      <c r="W1445" s="1314"/>
      <c r="X1445" s="1314"/>
      <c r="Y1445" s="1314"/>
      <c r="Z1445" s="1314"/>
    </row>
    <row r="1446" spans="1:26" ht="18.75">
      <c r="A1446" s="1393"/>
      <c r="B1446" s="1393"/>
      <c r="C1446" s="1393"/>
      <c r="D1446" s="1506"/>
      <c r="E1446" s="1393"/>
      <c r="F1446" s="1393"/>
      <c r="G1446" s="1393"/>
      <c r="H1446" s="1507"/>
      <c r="I1446" s="1508"/>
      <c r="J1446" s="1508"/>
      <c r="K1446" s="1509"/>
      <c r="L1446" s="1509"/>
      <c r="M1446" s="1509"/>
      <c r="N1446" s="1509"/>
      <c r="O1446" s="1509"/>
      <c r="P1446" s="1509"/>
      <c r="Q1446" s="1314"/>
      <c r="R1446" s="1314"/>
      <c r="S1446" s="1314"/>
      <c r="T1446" s="1314"/>
      <c r="U1446" s="1314"/>
      <c r="V1446" s="1314"/>
      <c r="W1446" s="1314"/>
      <c r="X1446" s="1314"/>
      <c r="Y1446" s="1314"/>
      <c r="Z1446" s="1314"/>
    </row>
    <row r="1447" spans="1:26" ht="18.75">
      <c r="A1447" s="1393"/>
      <c r="B1447" s="1393"/>
      <c r="C1447" s="1393"/>
      <c r="D1447" s="1506"/>
      <c r="E1447" s="1393"/>
      <c r="F1447" s="1393"/>
      <c r="G1447" s="1393"/>
      <c r="H1447" s="1507"/>
      <c r="I1447" s="1508"/>
      <c r="J1447" s="1508"/>
      <c r="K1447" s="1509"/>
      <c r="L1447" s="1509"/>
      <c r="M1447" s="1509"/>
      <c r="N1447" s="1509"/>
      <c r="O1447" s="1509"/>
      <c r="P1447" s="1509"/>
      <c r="Q1447" s="1314"/>
      <c r="R1447" s="1314"/>
      <c r="S1447" s="1314"/>
      <c r="T1447" s="1314"/>
      <c r="U1447" s="1314"/>
      <c r="V1447" s="1314"/>
      <c r="W1447" s="1314"/>
      <c r="X1447" s="1314"/>
      <c r="Y1447" s="1314"/>
      <c r="Z1447" s="1314"/>
    </row>
    <row r="1448" spans="1:26" ht="18.75">
      <c r="A1448" s="1393"/>
      <c r="B1448" s="1393"/>
      <c r="C1448" s="1393"/>
      <c r="D1448" s="1506"/>
      <c r="E1448" s="1393"/>
      <c r="F1448" s="1393"/>
      <c r="G1448" s="1393"/>
      <c r="H1448" s="1507"/>
      <c r="I1448" s="1508"/>
      <c r="J1448" s="1508"/>
      <c r="K1448" s="1509"/>
      <c r="L1448" s="1509"/>
      <c r="M1448" s="1509"/>
      <c r="N1448" s="1509"/>
      <c r="O1448" s="1509"/>
      <c r="P1448" s="1509"/>
      <c r="Q1448" s="1314"/>
      <c r="R1448" s="1314"/>
      <c r="S1448" s="1314"/>
      <c r="T1448" s="1314"/>
      <c r="U1448" s="1314"/>
      <c r="V1448" s="1314"/>
      <c r="W1448" s="1314"/>
      <c r="X1448" s="1314"/>
      <c r="Y1448" s="1314"/>
      <c r="Z1448" s="1314"/>
    </row>
    <row r="1449" spans="1:26" ht="18.75">
      <c r="A1449" s="1393"/>
      <c r="B1449" s="1393"/>
      <c r="C1449" s="1393"/>
      <c r="D1449" s="1506"/>
      <c r="E1449" s="1393"/>
      <c r="F1449" s="1393"/>
      <c r="G1449" s="1393"/>
      <c r="H1449" s="1507"/>
      <c r="I1449" s="1508"/>
      <c r="J1449" s="1508"/>
      <c r="K1449" s="1509"/>
      <c r="L1449" s="1509"/>
      <c r="M1449" s="1509"/>
      <c r="N1449" s="1509"/>
      <c r="O1449" s="1509"/>
      <c r="P1449" s="1509"/>
      <c r="Q1449" s="1314"/>
      <c r="R1449" s="1314"/>
      <c r="S1449" s="1314"/>
      <c r="T1449" s="1314"/>
      <c r="U1449" s="1314"/>
      <c r="V1449" s="1314"/>
      <c r="W1449" s="1314"/>
      <c r="X1449" s="1314"/>
      <c r="Y1449" s="1314"/>
      <c r="Z1449" s="1314"/>
    </row>
    <row r="1450" spans="1:26" ht="18.75">
      <c r="A1450" s="1393"/>
      <c r="B1450" s="1393"/>
      <c r="C1450" s="1393"/>
      <c r="D1450" s="1506"/>
      <c r="E1450" s="1393"/>
      <c r="F1450" s="1393"/>
      <c r="G1450" s="1393"/>
      <c r="H1450" s="1507"/>
      <c r="I1450" s="1508"/>
      <c r="J1450" s="1508"/>
      <c r="K1450" s="1509"/>
      <c r="L1450" s="1509"/>
      <c r="M1450" s="1509"/>
      <c r="N1450" s="1509"/>
      <c r="O1450" s="1509"/>
      <c r="P1450" s="1509"/>
      <c r="Q1450" s="1314"/>
      <c r="R1450" s="1314"/>
      <c r="S1450" s="1314"/>
      <c r="T1450" s="1314"/>
      <c r="U1450" s="1314"/>
      <c r="V1450" s="1314"/>
      <c r="W1450" s="1314"/>
      <c r="X1450" s="1314"/>
      <c r="Y1450" s="1314"/>
      <c r="Z1450" s="1314"/>
    </row>
    <row r="1451" spans="1:26" ht="18.75">
      <c r="A1451" s="1393"/>
      <c r="B1451" s="1393"/>
      <c r="C1451" s="1393"/>
      <c r="D1451" s="1506"/>
      <c r="E1451" s="1393"/>
      <c r="F1451" s="1393"/>
      <c r="G1451" s="1393"/>
      <c r="H1451" s="1507"/>
      <c r="I1451" s="1508"/>
      <c r="J1451" s="1508"/>
      <c r="K1451" s="1509"/>
      <c r="L1451" s="1509"/>
      <c r="M1451" s="1509"/>
      <c r="N1451" s="1509"/>
      <c r="O1451" s="1509"/>
      <c r="P1451" s="1509"/>
      <c r="Q1451" s="1314"/>
      <c r="R1451" s="1314"/>
      <c r="S1451" s="1314"/>
      <c r="T1451" s="1314"/>
      <c r="U1451" s="1314"/>
      <c r="V1451" s="1314"/>
      <c r="W1451" s="1314"/>
      <c r="X1451" s="1314"/>
      <c r="Y1451" s="1314"/>
      <c r="Z1451" s="1314"/>
    </row>
    <row r="1452" spans="1:26" ht="18.75">
      <c r="A1452" s="1393"/>
      <c r="B1452" s="1393"/>
      <c r="C1452" s="1393"/>
      <c r="D1452" s="1506"/>
      <c r="E1452" s="1393"/>
      <c r="F1452" s="1393"/>
      <c r="G1452" s="1393"/>
      <c r="H1452" s="1507"/>
      <c r="I1452" s="1508"/>
      <c r="J1452" s="1508"/>
      <c r="K1452" s="1509"/>
      <c r="L1452" s="1509"/>
      <c r="M1452" s="1509"/>
      <c r="N1452" s="1509"/>
      <c r="O1452" s="1509"/>
      <c r="P1452" s="1509"/>
      <c r="Q1452" s="1314"/>
      <c r="R1452" s="1314"/>
      <c r="S1452" s="1314"/>
      <c r="T1452" s="1314"/>
      <c r="U1452" s="1314"/>
      <c r="V1452" s="1314"/>
      <c r="W1452" s="1314"/>
      <c r="X1452" s="1314"/>
      <c r="Y1452" s="1314"/>
      <c r="Z1452" s="1314"/>
    </row>
    <row r="1453" spans="1:26" ht="18.75">
      <c r="A1453" s="1393"/>
      <c r="B1453" s="1393"/>
      <c r="C1453" s="1393"/>
      <c r="D1453" s="1506"/>
      <c r="E1453" s="1393"/>
      <c r="F1453" s="1393"/>
      <c r="G1453" s="1393"/>
      <c r="H1453" s="1507"/>
      <c r="I1453" s="1508"/>
      <c r="J1453" s="1508"/>
      <c r="K1453" s="1509"/>
      <c r="L1453" s="1509"/>
      <c r="M1453" s="1509"/>
      <c r="N1453" s="1509"/>
      <c r="O1453" s="1509"/>
      <c r="P1453" s="1509"/>
      <c r="Q1453" s="1314"/>
      <c r="R1453" s="1314"/>
      <c r="S1453" s="1314"/>
      <c r="T1453" s="1314"/>
      <c r="U1453" s="1314"/>
      <c r="V1453" s="1314"/>
      <c r="W1453" s="1314"/>
      <c r="X1453" s="1314"/>
      <c r="Y1453" s="1314"/>
      <c r="Z1453" s="1314"/>
    </row>
    <row r="1454" spans="1:26" ht="18.75">
      <c r="A1454" s="1393"/>
      <c r="B1454" s="1393"/>
      <c r="C1454" s="1393"/>
      <c r="D1454" s="1506"/>
      <c r="E1454" s="1393"/>
      <c r="F1454" s="1393"/>
      <c r="G1454" s="1393"/>
      <c r="H1454" s="1507"/>
      <c r="I1454" s="1508"/>
      <c r="J1454" s="1508"/>
      <c r="K1454" s="1509"/>
      <c r="L1454" s="1509"/>
      <c r="M1454" s="1509"/>
      <c r="N1454" s="1509"/>
      <c r="O1454" s="1509"/>
      <c r="P1454" s="1509"/>
      <c r="Q1454" s="1314"/>
      <c r="R1454" s="1314"/>
      <c r="S1454" s="1314"/>
      <c r="T1454" s="1314"/>
      <c r="U1454" s="1314"/>
      <c r="V1454" s="1314"/>
      <c r="W1454" s="1314"/>
      <c r="X1454" s="1314"/>
      <c r="Y1454" s="1314"/>
      <c r="Z1454" s="1314"/>
    </row>
    <row r="1455" spans="1:26" ht="18.75">
      <c r="A1455" s="1393"/>
      <c r="B1455" s="1393"/>
      <c r="C1455" s="1393"/>
      <c r="D1455" s="1506"/>
      <c r="E1455" s="1393"/>
      <c r="F1455" s="1393"/>
      <c r="G1455" s="1393"/>
      <c r="H1455" s="1507"/>
      <c r="I1455" s="1508"/>
      <c r="J1455" s="1508"/>
      <c r="K1455" s="1509"/>
      <c r="L1455" s="1509"/>
      <c r="M1455" s="1509"/>
      <c r="N1455" s="1509"/>
      <c r="O1455" s="1509"/>
      <c r="P1455" s="1509"/>
      <c r="Q1455" s="1314"/>
      <c r="R1455" s="1314"/>
      <c r="S1455" s="1314"/>
      <c r="T1455" s="1314"/>
      <c r="U1455" s="1314"/>
      <c r="V1455" s="1314"/>
      <c r="W1455" s="1314"/>
      <c r="X1455" s="1314"/>
      <c r="Y1455" s="1314"/>
      <c r="Z1455" s="1314"/>
    </row>
    <row r="1456" spans="1:26" ht="18.75">
      <c r="A1456" s="1393"/>
      <c r="B1456" s="1393"/>
      <c r="C1456" s="1393"/>
      <c r="D1456" s="1506"/>
      <c r="E1456" s="1393"/>
      <c r="F1456" s="1393"/>
      <c r="G1456" s="1393"/>
      <c r="H1456" s="1507"/>
      <c r="I1456" s="1508"/>
      <c r="J1456" s="1508"/>
      <c r="K1456" s="1509"/>
      <c r="L1456" s="1509"/>
      <c r="M1456" s="1509"/>
      <c r="N1456" s="1509"/>
      <c r="O1456" s="1509"/>
      <c r="P1456" s="1509"/>
      <c r="Q1456" s="1314"/>
      <c r="R1456" s="1314"/>
      <c r="S1456" s="1314"/>
      <c r="T1456" s="1314"/>
      <c r="U1456" s="1314"/>
      <c r="V1456" s="1314"/>
      <c r="W1456" s="1314"/>
      <c r="X1456" s="1314"/>
      <c r="Y1456" s="1314"/>
      <c r="Z1456" s="1314"/>
    </row>
    <row r="1457" spans="1:26" ht="18.75">
      <c r="A1457" s="1393"/>
      <c r="B1457" s="1393"/>
      <c r="C1457" s="1393"/>
      <c r="D1457" s="1506"/>
      <c r="E1457" s="1393"/>
      <c r="F1457" s="1393"/>
      <c r="G1457" s="1393"/>
      <c r="H1457" s="1507"/>
      <c r="I1457" s="1508"/>
      <c r="J1457" s="1508"/>
      <c r="K1457" s="1509"/>
      <c r="L1457" s="1509"/>
      <c r="M1457" s="1509"/>
      <c r="N1457" s="1509"/>
      <c r="O1457" s="1509"/>
      <c r="P1457" s="1509"/>
      <c r="Q1457" s="1314"/>
      <c r="R1457" s="1314"/>
      <c r="S1457" s="1314"/>
      <c r="T1457" s="1314"/>
      <c r="U1457" s="1314"/>
      <c r="V1457" s="1314"/>
      <c r="W1457" s="1314"/>
      <c r="X1457" s="1314"/>
      <c r="Y1457" s="1314"/>
      <c r="Z1457" s="1314"/>
    </row>
    <row r="1458" spans="1:26" ht="18.75">
      <c r="A1458" s="1393"/>
      <c r="B1458" s="1393"/>
      <c r="C1458" s="1393"/>
      <c r="D1458" s="1506"/>
      <c r="E1458" s="1393"/>
      <c r="F1458" s="1393"/>
      <c r="G1458" s="1393"/>
      <c r="H1458" s="1507"/>
      <c r="I1458" s="1508"/>
      <c r="J1458" s="1508"/>
      <c r="K1458" s="1509"/>
      <c r="L1458" s="1509"/>
      <c r="M1458" s="1509"/>
      <c r="N1458" s="1509"/>
      <c r="O1458" s="1509"/>
      <c r="P1458" s="1509"/>
      <c r="Q1458" s="1314"/>
      <c r="R1458" s="1314"/>
      <c r="S1458" s="1314"/>
      <c r="T1458" s="1314"/>
      <c r="U1458" s="1314"/>
      <c r="V1458" s="1314"/>
      <c r="W1458" s="1314"/>
      <c r="X1458" s="1314"/>
      <c r="Y1458" s="1314"/>
      <c r="Z1458" s="1314"/>
    </row>
    <row r="1459" spans="1:26" ht="18.75">
      <c r="A1459" s="1393"/>
      <c r="B1459" s="1393"/>
      <c r="C1459" s="1393"/>
      <c r="D1459" s="1506"/>
      <c r="E1459" s="1393"/>
      <c r="F1459" s="1393"/>
      <c r="G1459" s="1393"/>
      <c r="H1459" s="1507"/>
      <c r="I1459" s="1508"/>
      <c r="J1459" s="1508"/>
      <c r="K1459" s="1509"/>
      <c r="L1459" s="1509"/>
      <c r="M1459" s="1509"/>
      <c r="N1459" s="1509"/>
      <c r="O1459" s="1509"/>
      <c r="P1459" s="1509"/>
      <c r="Q1459" s="1314"/>
      <c r="R1459" s="1314"/>
      <c r="S1459" s="1314"/>
      <c r="T1459" s="1314"/>
      <c r="U1459" s="1314"/>
      <c r="V1459" s="1314"/>
      <c r="W1459" s="1314"/>
      <c r="X1459" s="1314"/>
      <c r="Y1459" s="1314"/>
      <c r="Z1459" s="1314"/>
    </row>
    <row r="1460" spans="1:26" ht="18.75">
      <c r="A1460" s="1393"/>
      <c r="B1460" s="1393"/>
      <c r="C1460" s="1393"/>
      <c r="D1460" s="1506"/>
      <c r="E1460" s="1393"/>
      <c r="F1460" s="1393"/>
      <c r="G1460" s="1393"/>
      <c r="H1460" s="1507"/>
      <c r="I1460" s="1508"/>
      <c r="J1460" s="1508"/>
      <c r="K1460" s="1509"/>
      <c r="L1460" s="1509"/>
      <c r="M1460" s="1509"/>
      <c r="N1460" s="1509"/>
      <c r="O1460" s="1509"/>
      <c r="P1460" s="1509"/>
      <c r="Q1460" s="1314"/>
      <c r="R1460" s="1314"/>
      <c r="S1460" s="1314"/>
      <c r="T1460" s="1314"/>
      <c r="U1460" s="1314"/>
      <c r="V1460" s="1314"/>
      <c r="W1460" s="1314"/>
      <c r="X1460" s="1314"/>
      <c r="Y1460" s="1314"/>
      <c r="Z1460" s="1314"/>
    </row>
    <row r="1461" spans="1:26" ht="18.75">
      <c r="A1461" s="1393"/>
      <c r="B1461" s="1393"/>
      <c r="C1461" s="1393"/>
      <c r="D1461" s="1506"/>
      <c r="E1461" s="1393"/>
      <c r="F1461" s="1393"/>
      <c r="G1461" s="1393"/>
      <c r="H1461" s="1507"/>
      <c r="I1461" s="1508"/>
      <c r="J1461" s="1508"/>
      <c r="K1461" s="1509"/>
      <c r="L1461" s="1509"/>
      <c r="M1461" s="1509"/>
      <c r="N1461" s="1509"/>
      <c r="O1461" s="1509"/>
      <c r="P1461" s="1509"/>
      <c r="Q1461" s="1314"/>
      <c r="R1461" s="1314"/>
      <c r="S1461" s="1314"/>
      <c r="T1461" s="1314"/>
      <c r="U1461" s="1314"/>
      <c r="V1461" s="1314"/>
      <c r="W1461" s="1314"/>
      <c r="X1461" s="1314"/>
      <c r="Y1461" s="1314"/>
      <c r="Z1461" s="1314"/>
    </row>
    <row r="1462" spans="1:26" ht="18.75">
      <c r="A1462" s="1393"/>
      <c r="B1462" s="1393"/>
      <c r="C1462" s="1393"/>
      <c r="D1462" s="1506"/>
      <c r="E1462" s="1393"/>
      <c r="F1462" s="1393"/>
      <c r="G1462" s="1393"/>
      <c r="H1462" s="1507"/>
      <c r="I1462" s="1508"/>
      <c r="J1462" s="1508"/>
      <c r="K1462" s="1509"/>
      <c r="L1462" s="1509"/>
      <c r="M1462" s="1509"/>
      <c r="N1462" s="1509"/>
      <c r="O1462" s="1509"/>
      <c r="P1462" s="1509"/>
      <c r="Q1462" s="1314"/>
      <c r="R1462" s="1314"/>
      <c r="S1462" s="1314"/>
      <c r="T1462" s="1314"/>
      <c r="U1462" s="1314"/>
      <c r="V1462" s="1314"/>
      <c r="W1462" s="1314"/>
      <c r="X1462" s="1314"/>
      <c r="Y1462" s="1314"/>
      <c r="Z1462" s="1314"/>
    </row>
    <row r="1463" spans="1:26" ht="18.75">
      <c r="A1463" s="1393"/>
      <c r="B1463" s="1393"/>
      <c r="C1463" s="1393"/>
      <c r="D1463" s="1506"/>
      <c r="E1463" s="1393"/>
      <c r="F1463" s="1393"/>
      <c r="G1463" s="1393"/>
      <c r="H1463" s="1507"/>
      <c r="I1463" s="1508"/>
      <c r="J1463" s="1508"/>
      <c r="K1463" s="1509"/>
      <c r="L1463" s="1509"/>
      <c r="M1463" s="1509"/>
      <c r="N1463" s="1509"/>
      <c r="O1463" s="1509"/>
      <c r="P1463" s="1509"/>
      <c r="Q1463" s="1314"/>
      <c r="R1463" s="1314"/>
      <c r="S1463" s="1314"/>
      <c r="T1463" s="1314"/>
      <c r="U1463" s="1314"/>
      <c r="V1463" s="1314"/>
      <c r="W1463" s="1314"/>
      <c r="X1463" s="1314"/>
      <c r="Y1463" s="1314"/>
      <c r="Z1463" s="1314"/>
    </row>
    <row r="1464" spans="1:26" ht="18.75">
      <c r="A1464" s="1393"/>
      <c r="B1464" s="1393"/>
      <c r="C1464" s="1393"/>
      <c r="D1464" s="1506"/>
      <c r="E1464" s="1393"/>
      <c r="F1464" s="1393"/>
      <c r="G1464" s="1393"/>
      <c r="H1464" s="1507"/>
      <c r="I1464" s="1508"/>
      <c r="J1464" s="1508"/>
      <c r="K1464" s="1509"/>
      <c r="L1464" s="1509"/>
      <c r="M1464" s="1509"/>
      <c r="N1464" s="1509"/>
      <c r="O1464" s="1509"/>
      <c r="P1464" s="1509"/>
      <c r="Q1464" s="1314"/>
      <c r="R1464" s="1314"/>
      <c r="S1464" s="1314"/>
      <c r="T1464" s="1314"/>
      <c r="U1464" s="1314"/>
      <c r="V1464" s="1314"/>
      <c r="W1464" s="1314"/>
      <c r="X1464" s="1314"/>
      <c r="Y1464" s="1314"/>
      <c r="Z1464" s="1314"/>
    </row>
    <row r="1465" spans="1:26" ht="18.75">
      <c r="A1465" s="1393"/>
      <c r="B1465" s="1393"/>
      <c r="C1465" s="1393"/>
      <c r="D1465" s="1506"/>
      <c r="E1465" s="1393"/>
      <c r="F1465" s="1393"/>
      <c r="G1465" s="1393"/>
      <c r="H1465" s="1507"/>
      <c r="I1465" s="1508"/>
      <c r="J1465" s="1508"/>
      <c r="K1465" s="1509"/>
      <c r="L1465" s="1509"/>
      <c r="M1465" s="1509"/>
      <c r="N1465" s="1509"/>
      <c r="O1465" s="1509"/>
      <c r="P1465" s="1509"/>
      <c r="Q1465" s="1314"/>
      <c r="R1465" s="1314"/>
      <c r="S1465" s="1314"/>
      <c r="T1465" s="1314"/>
      <c r="U1465" s="1314"/>
      <c r="V1465" s="1314"/>
      <c r="W1465" s="1314"/>
      <c r="X1465" s="1314"/>
      <c r="Y1465" s="1314"/>
      <c r="Z1465" s="1314"/>
    </row>
    <row r="1466" spans="1:26" ht="18.75">
      <c r="A1466" s="1393"/>
      <c r="B1466" s="1393"/>
      <c r="C1466" s="1393"/>
      <c r="D1466" s="1506"/>
      <c r="E1466" s="1393"/>
      <c r="F1466" s="1393"/>
      <c r="G1466" s="1393"/>
      <c r="H1466" s="1507"/>
      <c r="I1466" s="1508"/>
      <c r="J1466" s="1508"/>
      <c r="K1466" s="1509"/>
      <c r="L1466" s="1509"/>
      <c r="M1466" s="1509"/>
      <c r="N1466" s="1509"/>
      <c r="O1466" s="1509"/>
      <c r="P1466" s="1509"/>
      <c r="Q1466" s="1314"/>
      <c r="R1466" s="1314"/>
      <c r="S1466" s="1314"/>
      <c r="T1466" s="1314"/>
      <c r="U1466" s="1314"/>
      <c r="V1466" s="1314"/>
      <c r="W1466" s="1314"/>
      <c r="X1466" s="1314"/>
      <c r="Y1466" s="1314"/>
      <c r="Z1466" s="1314"/>
    </row>
    <row r="1467" spans="1:26" ht="18.75">
      <c r="A1467" s="1393"/>
      <c r="B1467" s="1393"/>
      <c r="C1467" s="1393"/>
      <c r="D1467" s="1506"/>
      <c r="E1467" s="1393"/>
      <c r="F1467" s="1393"/>
      <c r="G1467" s="1393"/>
      <c r="H1467" s="1507"/>
      <c r="I1467" s="1508"/>
      <c r="J1467" s="1508"/>
      <c r="K1467" s="1509"/>
      <c r="L1467" s="1509"/>
      <c r="M1467" s="1509"/>
      <c r="N1467" s="1509"/>
      <c r="O1467" s="1509"/>
      <c r="P1467" s="1509"/>
      <c r="Q1467" s="1314"/>
      <c r="R1467" s="1314"/>
      <c r="S1467" s="1314"/>
      <c r="T1467" s="1314"/>
      <c r="U1467" s="1314"/>
      <c r="V1467" s="1314"/>
      <c r="W1467" s="1314"/>
      <c r="X1467" s="1314"/>
      <c r="Y1467" s="1314"/>
      <c r="Z1467" s="1314"/>
    </row>
    <row r="1468" spans="1:26" ht="18.75">
      <c r="A1468" s="1393"/>
      <c r="B1468" s="1393"/>
      <c r="C1468" s="1393"/>
      <c r="D1468" s="1506"/>
      <c r="E1468" s="1393"/>
      <c r="F1468" s="1393"/>
      <c r="G1468" s="1393"/>
      <c r="H1468" s="1507"/>
      <c r="I1468" s="1508"/>
      <c r="J1468" s="1508"/>
      <c r="K1468" s="1509"/>
      <c r="L1468" s="1509"/>
      <c r="M1468" s="1509"/>
      <c r="N1468" s="1509"/>
      <c r="O1468" s="1509"/>
      <c r="P1468" s="1509"/>
      <c r="Q1468" s="1314"/>
      <c r="R1468" s="1314"/>
      <c r="S1468" s="1314"/>
      <c r="T1468" s="1314"/>
      <c r="U1468" s="1314"/>
      <c r="V1468" s="1314"/>
      <c r="W1468" s="1314"/>
      <c r="X1468" s="1314"/>
      <c r="Y1468" s="1314"/>
      <c r="Z1468" s="1314"/>
    </row>
    <row r="1469" spans="1:26" ht="18.75">
      <c r="A1469" s="1393"/>
      <c r="B1469" s="1393"/>
      <c r="C1469" s="1393"/>
      <c r="D1469" s="1506"/>
      <c r="E1469" s="1393"/>
      <c r="F1469" s="1393"/>
      <c r="G1469" s="1393"/>
      <c r="H1469" s="1507"/>
      <c r="I1469" s="1508"/>
      <c r="J1469" s="1508"/>
      <c r="K1469" s="1509"/>
      <c r="L1469" s="1509"/>
      <c r="M1469" s="1509"/>
      <c r="N1469" s="1509"/>
      <c r="O1469" s="1509"/>
      <c r="P1469" s="1509"/>
      <c r="Q1469" s="1314"/>
      <c r="R1469" s="1314"/>
      <c r="S1469" s="1314"/>
      <c r="T1469" s="1314"/>
      <c r="U1469" s="1314"/>
      <c r="V1469" s="1314"/>
      <c r="W1469" s="1314"/>
      <c r="X1469" s="1314"/>
      <c r="Y1469" s="1314"/>
      <c r="Z1469" s="1314"/>
    </row>
    <row r="1470" spans="1:26" ht="18.75">
      <c r="A1470" s="1393"/>
      <c r="B1470" s="1393"/>
      <c r="C1470" s="1393"/>
      <c r="D1470" s="1506"/>
      <c r="E1470" s="1393"/>
      <c r="F1470" s="1393"/>
      <c r="G1470" s="1393"/>
      <c r="H1470" s="1507"/>
      <c r="I1470" s="1508"/>
      <c r="J1470" s="1508"/>
      <c r="K1470" s="1509"/>
      <c r="L1470" s="1509"/>
      <c r="M1470" s="1509"/>
      <c r="N1470" s="1509"/>
      <c r="O1470" s="1509"/>
      <c r="P1470" s="1509"/>
      <c r="Q1470" s="1314"/>
      <c r="R1470" s="1314"/>
      <c r="S1470" s="1314"/>
      <c r="T1470" s="1314"/>
      <c r="U1470" s="1314"/>
      <c r="V1470" s="1314"/>
      <c r="W1470" s="1314"/>
      <c r="X1470" s="1314"/>
      <c r="Y1470" s="1314"/>
      <c r="Z1470" s="1314"/>
    </row>
    <row r="1471" spans="1:26" ht="18.75">
      <c r="A1471" s="1393"/>
      <c r="B1471" s="1393"/>
      <c r="C1471" s="1393"/>
      <c r="D1471" s="1506"/>
      <c r="E1471" s="1393"/>
      <c r="F1471" s="1393"/>
      <c r="G1471" s="1393"/>
      <c r="H1471" s="1507"/>
      <c r="I1471" s="1508"/>
      <c r="J1471" s="1508"/>
      <c r="K1471" s="1509"/>
      <c r="L1471" s="1509"/>
      <c r="M1471" s="1509"/>
      <c r="N1471" s="1509"/>
      <c r="O1471" s="1509"/>
      <c r="P1471" s="1509"/>
      <c r="Q1471" s="1314"/>
      <c r="R1471" s="1314"/>
      <c r="S1471" s="1314"/>
      <c r="T1471" s="1314"/>
      <c r="U1471" s="1314"/>
      <c r="V1471" s="1314"/>
      <c r="W1471" s="1314"/>
      <c r="X1471" s="1314"/>
      <c r="Y1471" s="1314"/>
      <c r="Z1471" s="1314"/>
    </row>
    <row r="1472" spans="1:26" ht="18.75">
      <c r="A1472" s="1393"/>
      <c r="B1472" s="1393"/>
      <c r="C1472" s="1393"/>
      <c r="D1472" s="1506"/>
      <c r="E1472" s="1393"/>
      <c r="F1472" s="1393"/>
      <c r="G1472" s="1393"/>
      <c r="H1472" s="1507"/>
      <c r="I1472" s="1508"/>
      <c r="J1472" s="1508"/>
      <c r="K1472" s="1509"/>
      <c r="L1472" s="1509"/>
      <c r="M1472" s="1509"/>
      <c r="N1472" s="1509"/>
      <c r="O1472" s="1509"/>
      <c r="P1472" s="1509"/>
      <c r="Q1472" s="1314"/>
      <c r="R1472" s="1314"/>
      <c r="S1472" s="1314"/>
      <c r="T1472" s="1314"/>
      <c r="U1472" s="1314"/>
      <c r="V1472" s="1314"/>
      <c r="W1472" s="1314"/>
      <c r="X1472" s="1314"/>
      <c r="Y1472" s="1314"/>
      <c r="Z1472" s="1314"/>
    </row>
    <row r="1473" spans="1:26" ht="18.75">
      <c r="A1473" s="1393"/>
      <c r="B1473" s="1393"/>
      <c r="C1473" s="1393"/>
      <c r="D1473" s="1506"/>
      <c r="E1473" s="1393"/>
      <c r="F1473" s="1393"/>
      <c r="G1473" s="1393"/>
      <c r="H1473" s="1507"/>
      <c r="I1473" s="1508"/>
      <c r="J1473" s="1508"/>
      <c r="K1473" s="1509"/>
      <c r="L1473" s="1509"/>
      <c r="M1473" s="1509"/>
      <c r="N1473" s="1509"/>
      <c r="O1473" s="1509"/>
      <c r="P1473" s="1509"/>
      <c r="Q1473" s="1314"/>
      <c r="R1473" s="1314"/>
      <c r="S1473" s="1314"/>
      <c r="T1473" s="1314"/>
      <c r="U1473" s="1314"/>
      <c r="V1473" s="1314"/>
      <c r="W1473" s="1314"/>
      <c r="X1473" s="1314"/>
      <c r="Y1473" s="1314"/>
      <c r="Z1473" s="1314"/>
    </row>
    <row r="1474" spans="1:26" ht="18.75">
      <c r="A1474" s="1393"/>
      <c r="B1474" s="1393"/>
      <c r="C1474" s="1393"/>
      <c r="D1474" s="1506"/>
      <c r="E1474" s="1393"/>
      <c r="F1474" s="1393"/>
      <c r="G1474" s="1393"/>
      <c r="H1474" s="1507"/>
      <c r="I1474" s="1508"/>
      <c r="J1474" s="1508"/>
      <c r="K1474" s="1509"/>
      <c r="L1474" s="1509"/>
      <c r="M1474" s="1509"/>
      <c r="N1474" s="1509"/>
      <c r="O1474" s="1509"/>
      <c r="P1474" s="1509"/>
      <c r="Q1474" s="1314"/>
      <c r="R1474" s="1314"/>
      <c r="S1474" s="1314"/>
      <c r="T1474" s="1314"/>
      <c r="U1474" s="1314"/>
      <c r="V1474" s="1314"/>
      <c r="W1474" s="1314"/>
      <c r="X1474" s="1314"/>
      <c r="Y1474" s="1314"/>
      <c r="Z1474" s="1314"/>
    </row>
    <row r="1475" spans="1:26" ht="18.75">
      <c r="A1475" s="1393"/>
      <c r="B1475" s="1393"/>
      <c r="C1475" s="1393"/>
      <c r="D1475" s="1506"/>
      <c r="E1475" s="1393"/>
      <c r="F1475" s="1393"/>
      <c r="G1475" s="1393"/>
      <c r="H1475" s="1507"/>
      <c r="I1475" s="1508"/>
      <c r="J1475" s="1508"/>
      <c r="K1475" s="1509"/>
      <c r="L1475" s="1509"/>
      <c r="M1475" s="1509"/>
      <c r="N1475" s="1509"/>
      <c r="O1475" s="1509"/>
      <c r="P1475" s="1509"/>
      <c r="Q1475" s="1314"/>
      <c r="R1475" s="1314"/>
      <c r="S1475" s="1314"/>
      <c r="T1475" s="1314"/>
      <c r="U1475" s="1314"/>
      <c r="V1475" s="1314"/>
      <c r="W1475" s="1314"/>
      <c r="X1475" s="1314"/>
      <c r="Y1475" s="1314"/>
      <c r="Z1475" s="1314"/>
    </row>
    <row r="1476" spans="1:26" ht="18.75">
      <c r="A1476" s="1393"/>
      <c r="B1476" s="1393"/>
      <c r="C1476" s="1393"/>
      <c r="D1476" s="1506"/>
      <c r="E1476" s="1393"/>
      <c r="F1476" s="1393"/>
      <c r="G1476" s="1393"/>
      <c r="H1476" s="1507"/>
      <c r="I1476" s="1508"/>
      <c r="J1476" s="1508"/>
      <c r="K1476" s="1509"/>
      <c r="L1476" s="1509"/>
      <c r="M1476" s="1509"/>
      <c r="N1476" s="1509"/>
      <c r="O1476" s="1509"/>
      <c r="P1476" s="1509"/>
      <c r="Q1476" s="1314"/>
      <c r="R1476" s="1314"/>
      <c r="S1476" s="1314"/>
      <c r="T1476" s="1314"/>
      <c r="U1476" s="1314"/>
      <c r="V1476" s="1314"/>
      <c r="W1476" s="1314"/>
      <c r="X1476" s="1314"/>
      <c r="Y1476" s="1314"/>
      <c r="Z1476" s="1314"/>
    </row>
    <row r="1477" spans="1:26" ht="18.75">
      <c r="A1477" s="1393"/>
      <c r="B1477" s="1393"/>
      <c r="C1477" s="1393"/>
      <c r="D1477" s="1506"/>
      <c r="E1477" s="1393"/>
      <c r="F1477" s="1393"/>
      <c r="G1477" s="1393"/>
      <c r="H1477" s="1507"/>
      <c r="I1477" s="1508"/>
      <c r="J1477" s="1508"/>
      <c r="K1477" s="1509"/>
      <c r="L1477" s="1509"/>
      <c r="M1477" s="1509"/>
      <c r="N1477" s="1509"/>
      <c r="O1477" s="1509"/>
      <c r="P1477" s="1509"/>
      <c r="Q1477" s="1314"/>
      <c r="R1477" s="1314"/>
      <c r="S1477" s="1314"/>
      <c r="T1477" s="1314"/>
      <c r="U1477" s="1314"/>
      <c r="V1477" s="1314"/>
      <c r="W1477" s="1314"/>
      <c r="X1477" s="1314"/>
      <c r="Y1477" s="1314"/>
      <c r="Z1477" s="1314"/>
    </row>
    <row r="1478" spans="1:26" ht="18.75">
      <c r="A1478" s="1393"/>
      <c r="B1478" s="1393"/>
      <c r="C1478" s="1393"/>
      <c r="D1478" s="1506"/>
      <c r="E1478" s="1393"/>
      <c r="F1478" s="1393"/>
      <c r="G1478" s="1393"/>
      <c r="H1478" s="1507"/>
      <c r="I1478" s="1508"/>
      <c r="J1478" s="1508"/>
      <c r="K1478" s="1509"/>
      <c r="L1478" s="1509"/>
      <c r="M1478" s="1509"/>
      <c r="N1478" s="1509"/>
      <c r="O1478" s="1509"/>
      <c r="P1478" s="1509"/>
      <c r="Q1478" s="1314"/>
      <c r="R1478" s="1314"/>
      <c r="S1478" s="1314"/>
      <c r="T1478" s="1314"/>
      <c r="U1478" s="1314"/>
      <c r="V1478" s="1314"/>
      <c r="W1478" s="1314"/>
      <c r="X1478" s="1314"/>
      <c r="Y1478" s="1314"/>
      <c r="Z1478" s="1314"/>
    </row>
    <row r="1479" spans="1:26" ht="18.75">
      <c r="A1479" s="1393"/>
      <c r="B1479" s="1393"/>
      <c r="C1479" s="1393"/>
      <c r="D1479" s="1506"/>
      <c r="E1479" s="1393"/>
      <c r="F1479" s="1393"/>
      <c r="G1479" s="1393"/>
      <c r="H1479" s="1507"/>
      <c r="I1479" s="1508"/>
      <c r="J1479" s="1508"/>
      <c r="K1479" s="1509"/>
      <c r="L1479" s="1509"/>
      <c r="M1479" s="1509"/>
      <c r="N1479" s="1509"/>
      <c r="O1479" s="1509"/>
      <c r="P1479" s="1509"/>
      <c r="Q1479" s="1314"/>
      <c r="R1479" s="1314"/>
      <c r="S1479" s="1314"/>
      <c r="T1479" s="1314"/>
      <c r="U1479" s="1314"/>
      <c r="V1479" s="1314"/>
      <c r="W1479" s="1314"/>
      <c r="X1479" s="1314"/>
      <c r="Y1479" s="1314"/>
      <c r="Z1479" s="1314"/>
    </row>
    <row r="1480" spans="1:26" ht="18.75">
      <c r="A1480" s="1393"/>
      <c r="B1480" s="1393"/>
      <c r="C1480" s="1393"/>
      <c r="D1480" s="1506"/>
      <c r="E1480" s="1393"/>
      <c r="F1480" s="1393"/>
      <c r="G1480" s="1393"/>
      <c r="H1480" s="1507"/>
      <c r="I1480" s="1508"/>
      <c r="J1480" s="1508"/>
      <c r="K1480" s="1509"/>
      <c r="L1480" s="1509"/>
      <c r="M1480" s="1509"/>
      <c r="N1480" s="1509"/>
      <c r="O1480" s="1509"/>
      <c r="P1480" s="1509"/>
      <c r="Q1480" s="1314"/>
      <c r="R1480" s="1314"/>
      <c r="S1480" s="1314"/>
      <c r="T1480" s="1314"/>
      <c r="U1480" s="1314"/>
      <c r="V1480" s="1314"/>
      <c r="W1480" s="1314"/>
      <c r="X1480" s="1314"/>
      <c r="Y1480" s="1314"/>
      <c r="Z1480" s="1314"/>
    </row>
    <row r="1481" spans="1:26" ht="18.75">
      <c r="A1481" s="1393"/>
      <c r="B1481" s="1393"/>
      <c r="C1481" s="1393"/>
      <c r="D1481" s="1506"/>
      <c r="E1481" s="1393"/>
      <c r="F1481" s="1393"/>
      <c r="G1481" s="1393"/>
      <c r="H1481" s="1507"/>
      <c r="I1481" s="1508"/>
      <c r="J1481" s="1508"/>
      <c r="K1481" s="1509"/>
      <c r="L1481" s="1509"/>
      <c r="M1481" s="1509"/>
      <c r="N1481" s="1509"/>
      <c r="O1481" s="1509"/>
      <c r="P1481" s="1509"/>
      <c r="Q1481" s="1314"/>
      <c r="R1481" s="1314"/>
      <c r="S1481" s="1314"/>
      <c r="T1481" s="1314"/>
      <c r="U1481" s="1314"/>
      <c r="V1481" s="1314"/>
      <c r="W1481" s="1314"/>
      <c r="X1481" s="1314"/>
      <c r="Y1481" s="1314"/>
      <c r="Z1481" s="1314"/>
    </row>
    <row r="1482" spans="1:26" ht="18.75">
      <c r="A1482" s="1393"/>
      <c r="B1482" s="1393"/>
      <c r="C1482" s="1393"/>
      <c r="D1482" s="1506"/>
      <c r="E1482" s="1393"/>
      <c r="F1482" s="1393"/>
      <c r="G1482" s="1393"/>
      <c r="H1482" s="1507"/>
      <c r="I1482" s="1508"/>
      <c r="J1482" s="1508"/>
      <c r="K1482" s="1509"/>
      <c r="L1482" s="1509"/>
      <c r="M1482" s="1509"/>
      <c r="N1482" s="1509"/>
      <c r="O1482" s="1509"/>
      <c r="P1482" s="1509"/>
      <c r="Q1482" s="1314"/>
      <c r="R1482" s="1314"/>
      <c r="S1482" s="1314"/>
      <c r="T1482" s="1314"/>
      <c r="U1482" s="1314"/>
      <c r="V1482" s="1314"/>
      <c r="W1482" s="1314"/>
      <c r="X1482" s="1314"/>
      <c r="Y1482" s="1314"/>
      <c r="Z1482" s="1314"/>
    </row>
    <row r="1483" spans="1:26" ht="18.75">
      <c r="A1483" s="1393"/>
      <c r="B1483" s="1393"/>
      <c r="C1483" s="1393"/>
      <c r="D1483" s="1506"/>
      <c r="E1483" s="1393"/>
      <c r="F1483" s="1393"/>
      <c r="G1483" s="1393"/>
      <c r="H1483" s="1507"/>
      <c r="I1483" s="1508"/>
      <c r="J1483" s="1508"/>
      <c r="K1483" s="1509"/>
      <c r="L1483" s="1509"/>
      <c r="M1483" s="1509"/>
      <c r="N1483" s="1509"/>
      <c r="O1483" s="1509"/>
      <c r="P1483" s="1509"/>
      <c r="Q1483" s="1314"/>
      <c r="R1483" s="1314"/>
      <c r="S1483" s="1314"/>
      <c r="T1483" s="1314"/>
      <c r="U1483" s="1314"/>
      <c r="V1483" s="1314"/>
      <c r="W1483" s="1314"/>
      <c r="X1483" s="1314"/>
      <c r="Y1483" s="1314"/>
      <c r="Z1483" s="1314"/>
    </row>
    <row r="1484" spans="1:26" ht="18.75">
      <c r="A1484" s="1393"/>
      <c r="B1484" s="1393"/>
      <c r="C1484" s="1393"/>
      <c r="D1484" s="1506"/>
      <c r="E1484" s="1393"/>
      <c r="F1484" s="1393"/>
      <c r="G1484" s="1393"/>
      <c r="H1484" s="1507"/>
      <c r="I1484" s="1508"/>
      <c r="J1484" s="1508"/>
      <c r="K1484" s="1509"/>
      <c r="L1484" s="1509"/>
      <c r="M1484" s="1509"/>
      <c r="N1484" s="1509"/>
      <c r="O1484" s="1509"/>
      <c r="P1484" s="1509"/>
      <c r="Q1484" s="1314"/>
      <c r="R1484" s="1314"/>
      <c r="S1484" s="1314"/>
      <c r="T1484" s="1314"/>
      <c r="U1484" s="1314"/>
      <c r="V1484" s="1314"/>
      <c r="W1484" s="1314"/>
      <c r="X1484" s="1314"/>
      <c r="Y1484" s="1314"/>
      <c r="Z1484" s="1314"/>
    </row>
    <row r="1485" spans="1:26" ht="18.75">
      <c r="A1485" s="1393"/>
      <c r="B1485" s="1393"/>
      <c r="C1485" s="1393"/>
      <c r="D1485" s="1506"/>
      <c r="E1485" s="1393"/>
      <c r="F1485" s="1393"/>
      <c r="G1485" s="1393"/>
      <c r="H1485" s="1507"/>
      <c r="I1485" s="1508"/>
      <c r="J1485" s="1508"/>
      <c r="K1485" s="1509"/>
      <c r="L1485" s="1509"/>
      <c r="M1485" s="1509"/>
      <c r="N1485" s="1509"/>
      <c r="O1485" s="1509"/>
      <c r="P1485" s="1509"/>
      <c r="Q1485" s="1314"/>
      <c r="R1485" s="1314"/>
      <c r="S1485" s="1314"/>
      <c r="T1485" s="1314"/>
      <c r="U1485" s="1314"/>
      <c r="V1485" s="1314"/>
      <c r="W1485" s="1314"/>
      <c r="X1485" s="1314"/>
      <c r="Y1485" s="1314"/>
      <c r="Z1485" s="1314"/>
    </row>
    <row r="1486" spans="1:26" ht="18.75">
      <c r="A1486" s="1393"/>
      <c r="B1486" s="1393"/>
      <c r="C1486" s="1393"/>
      <c r="D1486" s="1506"/>
      <c r="E1486" s="1393"/>
      <c r="F1486" s="1393"/>
      <c r="G1486" s="1393"/>
      <c r="H1486" s="1507"/>
      <c r="I1486" s="1508"/>
      <c r="J1486" s="1508"/>
      <c r="K1486" s="1509"/>
      <c r="L1486" s="1509"/>
      <c r="M1486" s="1509"/>
      <c r="N1486" s="1509"/>
      <c r="O1486" s="1509"/>
      <c r="P1486" s="1509"/>
      <c r="Q1486" s="1314"/>
      <c r="R1486" s="1314"/>
      <c r="S1486" s="1314"/>
      <c r="T1486" s="1314"/>
      <c r="U1486" s="1314"/>
      <c r="V1486" s="1314"/>
      <c r="W1486" s="1314"/>
      <c r="X1486" s="1314"/>
      <c r="Y1486" s="1314"/>
      <c r="Z1486" s="1314"/>
    </row>
    <row r="1487" spans="1:26" ht="18.75">
      <c r="A1487" s="1393"/>
      <c r="B1487" s="1393"/>
      <c r="C1487" s="1393"/>
      <c r="D1487" s="1506"/>
      <c r="E1487" s="1393"/>
      <c r="F1487" s="1393"/>
      <c r="G1487" s="1393"/>
      <c r="H1487" s="1507"/>
      <c r="I1487" s="1508"/>
      <c r="J1487" s="1508"/>
      <c r="K1487" s="1509"/>
      <c r="L1487" s="1509"/>
      <c r="M1487" s="1509"/>
      <c r="N1487" s="1509"/>
      <c r="O1487" s="1509"/>
      <c r="P1487" s="1509"/>
      <c r="Q1487" s="1314"/>
      <c r="R1487" s="1314"/>
      <c r="S1487" s="1314"/>
      <c r="T1487" s="1314"/>
      <c r="U1487" s="1314"/>
      <c r="V1487" s="1314"/>
      <c r="W1487" s="1314"/>
      <c r="X1487" s="1314"/>
      <c r="Y1487" s="1314"/>
      <c r="Z1487" s="1314"/>
    </row>
    <row r="1488" spans="1:26" ht="18.75">
      <c r="A1488" s="1393"/>
      <c r="B1488" s="1393"/>
      <c r="C1488" s="1393"/>
      <c r="D1488" s="1506"/>
      <c r="E1488" s="1393"/>
      <c r="F1488" s="1393"/>
      <c r="G1488" s="1393"/>
      <c r="H1488" s="1507"/>
      <c r="I1488" s="1508"/>
      <c r="J1488" s="1508"/>
      <c r="K1488" s="1509"/>
      <c r="L1488" s="1509"/>
      <c r="M1488" s="1509"/>
      <c r="N1488" s="1509"/>
      <c r="O1488" s="1509"/>
      <c r="P1488" s="1509"/>
      <c r="Q1488" s="1314"/>
      <c r="R1488" s="1314"/>
      <c r="S1488" s="1314"/>
      <c r="T1488" s="1314"/>
      <c r="U1488" s="1314"/>
      <c r="V1488" s="1314"/>
      <c r="W1488" s="1314"/>
      <c r="X1488" s="1314"/>
      <c r="Y1488" s="1314"/>
      <c r="Z1488" s="1314"/>
    </row>
    <row r="1489" spans="1:26" ht="18.75">
      <c r="A1489" s="1393"/>
      <c r="B1489" s="1393"/>
      <c r="C1489" s="1393"/>
      <c r="D1489" s="1506"/>
      <c r="E1489" s="1393"/>
      <c r="F1489" s="1393"/>
      <c r="G1489" s="1393"/>
      <c r="H1489" s="1507"/>
      <c r="I1489" s="1508"/>
      <c r="J1489" s="1508"/>
      <c r="K1489" s="1509"/>
      <c r="L1489" s="1509"/>
      <c r="M1489" s="1509"/>
      <c r="N1489" s="1509"/>
      <c r="O1489" s="1509"/>
      <c r="P1489" s="1509"/>
      <c r="Q1489" s="1314"/>
      <c r="R1489" s="1314"/>
      <c r="S1489" s="1314"/>
      <c r="T1489" s="1314"/>
      <c r="U1489" s="1314"/>
      <c r="V1489" s="1314"/>
      <c r="W1489" s="1314"/>
      <c r="X1489" s="1314"/>
      <c r="Y1489" s="1314"/>
      <c r="Z1489" s="1314"/>
    </row>
    <row r="1490" spans="1:26" ht="18.75">
      <c r="A1490" s="1393"/>
      <c r="B1490" s="1393"/>
      <c r="C1490" s="1393"/>
      <c r="D1490" s="1506"/>
      <c r="E1490" s="1393"/>
      <c r="F1490" s="1393"/>
      <c r="G1490" s="1393"/>
      <c r="H1490" s="1507"/>
      <c r="I1490" s="1508"/>
      <c r="J1490" s="1508"/>
      <c r="K1490" s="1509"/>
      <c r="L1490" s="1509"/>
      <c r="M1490" s="1509"/>
      <c r="N1490" s="1509"/>
      <c r="O1490" s="1509"/>
      <c r="P1490" s="1509"/>
      <c r="Q1490" s="1314"/>
      <c r="R1490" s="1314"/>
      <c r="S1490" s="1314"/>
      <c r="T1490" s="1314"/>
      <c r="U1490" s="1314"/>
      <c r="V1490" s="1314"/>
      <c r="W1490" s="1314"/>
      <c r="X1490" s="1314"/>
      <c r="Y1490" s="1314"/>
      <c r="Z1490" s="1314"/>
    </row>
    <row r="1491" spans="1:26" ht="18.75">
      <c r="A1491" s="1393"/>
      <c r="B1491" s="1393"/>
      <c r="C1491" s="1393"/>
      <c r="D1491" s="1506"/>
      <c r="E1491" s="1393"/>
      <c r="F1491" s="1393"/>
      <c r="G1491" s="1393"/>
      <c r="H1491" s="1507"/>
      <c r="I1491" s="1508"/>
      <c r="J1491" s="1508"/>
      <c r="K1491" s="1509"/>
      <c r="L1491" s="1509"/>
      <c r="M1491" s="1509"/>
      <c r="N1491" s="1509"/>
      <c r="O1491" s="1509"/>
      <c r="P1491" s="1509"/>
      <c r="Q1491" s="1314"/>
      <c r="R1491" s="1314"/>
      <c r="S1491" s="1314"/>
      <c r="T1491" s="1314"/>
      <c r="U1491" s="1314"/>
      <c r="V1491" s="1314"/>
      <c r="W1491" s="1314"/>
      <c r="X1491" s="1314"/>
      <c r="Y1491" s="1314"/>
      <c r="Z1491" s="1314"/>
    </row>
    <row r="1492" spans="1:26" ht="18.75">
      <c r="A1492" s="1393"/>
      <c r="B1492" s="1393"/>
      <c r="C1492" s="1393"/>
      <c r="D1492" s="1506"/>
      <c r="E1492" s="1393"/>
      <c r="F1492" s="1393"/>
      <c r="G1492" s="1393"/>
      <c r="H1492" s="1507"/>
      <c r="I1492" s="1508"/>
      <c r="J1492" s="1508"/>
      <c r="K1492" s="1509"/>
      <c r="L1492" s="1509"/>
      <c r="M1492" s="1509"/>
      <c r="N1492" s="1509"/>
      <c r="O1492" s="1509"/>
      <c r="P1492" s="1509"/>
      <c r="Q1492" s="1314"/>
      <c r="R1492" s="1314"/>
      <c r="S1492" s="1314"/>
      <c r="T1492" s="1314"/>
      <c r="U1492" s="1314"/>
      <c r="V1492" s="1314"/>
      <c r="W1492" s="1314"/>
      <c r="X1492" s="1314"/>
      <c r="Y1492" s="1314"/>
      <c r="Z1492" s="1314"/>
    </row>
    <row r="1493" spans="1:26" ht="18.75">
      <c r="A1493" s="1393"/>
      <c r="B1493" s="1393"/>
      <c r="C1493" s="1393"/>
      <c r="D1493" s="1506"/>
      <c r="E1493" s="1393"/>
      <c r="F1493" s="1393"/>
      <c r="G1493" s="1393"/>
      <c r="H1493" s="1507"/>
      <c r="I1493" s="1508"/>
      <c r="J1493" s="1508"/>
      <c r="K1493" s="1509"/>
      <c r="L1493" s="1509"/>
      <c r="M1493" s="1509"/>
      <c r="N1493" s="1509"/>
      <c r="O1493" s="1509"/>
      <c r="P1493" s="1509"/>
      <c r="Q1493" s="1314"/>
      <c r="R1493" s="1314"/>
      <c r="S1493" s="1314"/>
      <c r="T1493" s="1314"/>
      <c r="U1493" s="1314"/>
      <c r="V1493" s="1314"/>
      <c r="W1493" s="1314"/>
      <c r="X1493" s="1314"/>
      <c r="Y1493" s="1314"/>
      <c r="Z1493" s="1314"/>
    </row>
    <row r="1494" spans="1:26" ht="18.75">
      <c r="A1494" s="1393"/>
      <c r="B1494" s="1393"/>
      <c r="C1494" s="1393"/>
      <c r="D1494" s="1506"/>
      <c r="E1494" s="1393"/>
      <c r="F1494" s="1393"/>
      <c r="G1494" s="1393"/>
      <c r="H1494" s="1507"/>
      <c r="I1494" s="1508"/>
      <c r="J1494" s="1508"/>
      <c r="K1494" s="1509"/>
      <c r="L1494" s="1509"/>
      <c r="M1494" s="1509"/>
      <c r="N1494" s="1509"/>
      <c r="O1494" s="1509"/>
      <c r="P1494" s="1509"/>
      <c r="Q1494" s="1314"/>
      <c r="R1494" s="1314"/>
      <c r="S1494" s="1314"/>
      <c r="T1494" s="1314"/>
      <c r="U1494" s="1314"/>
      <c r="V1494" s="1314"/>
      <c r="W1494" s="1314"/>
      <c r="X1494" s="1314"/>
      <c r="Y1494" s="1314"/>
      <c r="Z1494" s="1314"/>
    </row>
    <row r="1495" spans="1:26" ht="18.75">
      <c r="A1495" s="1393"/>
      <c r="B1495" s="1393"/>
      <c r="C1495" s="1393"/>
      <c r="D1495" s="1506"/>
      <c r="E1495" s="1393"/>
      <c r="F1495" s="1393"/>
      <c r="G1495" s="1393"/>
      <c r="H1495" s="1507"/>
      <c r="I1495" s="1508"/>
      <c r="J1495" s="1508"/>
      <c r="K1495" s="1509"/>
      <c r="L1495" s="1509"/>
      <c r="M1495" s="1509"/>
      <c r="N1495" s="1509"/>
      <c r="O1495" s="1509"/>
      <c r="P1495" s="1509"/>
      <c r="Q1495" s="1314"/>
      <c r="R1495" s="1314"/>
      <c r="S1495" s="1314"/>
      <c r="T1495" s="1314"/>
      <c r="U1495" s="1314"/>
      <c r="V1495" s="1314"/>
      <c r="W1495" s="1314"/>
      <c r="X1495" s="1314"/>
      <c r="Y1495" s="1314"/>
      <c r="Z1495" s="1314"/>
    </row>
    <row r="1496" spans="1:26" ht="18.75">
      <c r="A1496" s="1393"/>
      <c r="B1496" s="1393"/>
      <c r="C1496" s="1393"/>
      <c r="D1496" s="1506"/>
      <c r="E1496" s="1393"/>
      <c r="F1496" s="1393"/>
      <c r="G1496" s="1393"/>
      <c r="H1496" s="1507"/>
      <c r="I1496" s="1508"/>
      <c r="J1496" s="1508"/>
      <c r="K1496" s="1509"/>
      <c r="L1496" s="1509"/>
      <c r="M1496" s="1509"/>
      <c r="N1496" s="1509"/>
      <c r="O1496" s="1509"/>
      <c r="P1496" s="1509"/>
      <c r="Q1496" s="1314"/>
      <c r="R1496" s="1314"/>
      <c r="S1496" s="1314"/>
      <c r="T1496" s="1314"/>
      <c r="U1496" s="1314"/>
      <c r="V1496" s="1314"/>
      <c r="W1496" s="1314"/>
      <c r="X1496" s="1314"/>
      <c r="Y1496" s="1314"/>
      <c r="Z1496" s="1314"/>
    </row>
    <row r="1497" spans="1:26" ht="18.75">
      <c r="A1497" s="1393"/>
      <c r="B1497" s="1393"/>
      <c r="C1497" s="1393"/>
      <c r="D1497" s="1506"/>
      <c r="E1497" s="1393"/>
      <c r="F1497" s="1393"/>
      <c r="G1497" s="1393"/>
      <c r="H1497" s="1507"/>
      <c r="I1497" s="1508"/>
      <c r="J1497" s="1508"/>
      <c r="K1497" s="1509"/>
      <c r="L1497" s="1509"/>
      <c r="M1497" s="1509"/>
      <c r="N1497" s="1509"/>
      <c r="O1497" s="1509"/>
      <c r="P1497" s="1509"/>
      <c r="Q1497" s="1314"/>
      <c r="R1497" s="1314"/>
      <c r="S1497" s="1314"/>
      <c r="T1497" s="1314"/>
      <c r="U1497" s="1314"/>
      <c r="V1497" s="1314"/>
      <c r="W1497" s="1314"/>
      <c r="X1497" s="1314"/>
      <c r="Y1497" s="1314"/>
      <c r="Z1497" s="1314"/>
    </row>
    <row r="1498" spans="1:26" ht="18.75">
      <c r="A1498" s="1393"/>
      <c r="B1498" s="1393"/>
      <c r="C1498" s="1393"/>
      <c r="D1498" s="1506"/>
      <c r="E1498" s="1393"/>
      <c r="F1498" s="1393"/>
      <c r="G1498" s="1393"/>
      <c r="H1498" s="1507"/>
      <c r="I1498" s="1508"/>
      <c r="J1498" s="1508"/>
      <c r="K1498" s="1509"/>
      <c r="L1498" s="1509"/>
      <c r="M1498" s="1509"/>
      <c r="N1498" s="1509"/>
      <c r="O1498" s="1509"/>
      <c r="P1498" s="1509"/>
      <c r="Q1498" s="1314"/>
      <c r="R1498" s="1314"/>
      <c r="S1498" s="1314"/>
      <c r="T1498" s="1314"/>
      <c r="U1498" s="1314"/>
      <c r="V1498" s="1314"/>
      <c r="W1498" s="1314"/>
      <c r="X1498" s="1314"/>
      <c r="Y1498" s="1314"/>
      <c r="Z1498" s="1314"/>
    </row>
    <row r="1499" spans="1:26" ht="18.75">
      <c r="A1499" s="1393"/>
      <c r="B1499" s="1393"/>
      <c r="C1499" s="1393"/>
      <c r="D1499" s="1506"/>
      <c r="E1499" s="1393"/>
      <c r="F1499" s="1393"/>
      <c r="G1499" s="1393"/>
      <c r="H1499" s="1507"/>
      <c r="I1499" s="1508"/>
      <c r="J1499" s="1508"/>
      <c r="K1499" s="1509"/>
      <c r="L1499" s="1509"/>
      <c r="M1499" s="1509"/>
      <c r="N1499" s="1509"/>
      <c r="O1499" s="1509"/>
      <c r="P1499" s="1509"/>
      <c r="Q1499" s="1314"/>
      <c r="R1499" s="1314"/>
      <c r="S1499" s="1314"/>
      <c r="T1499" s="1314"/>
      <c r="U1499" s="1314"/>
      <c r="V1499" s="1314"/>
      <c r="W1499" s="1314"/>
      <c r="X1499" s="1314"/>
      <c r="Y1499" s="1314"/>
      <c r="Z1499" s="1314"/>
    </row>
    <row r="1500" spans="1:26" ht="18.75">
      <c r="A1500" s="1393"/>
      <c r="B1500" s="1393"/>
      <c r="C1500" s="1393"/>
      <c r="D1500" s="1506"/>
      <c r="E1500" s="1393"/>
      <c r="F1500" s="1393"/>
      <c r="G1500" s="1393"/>
      <c r="H1500" s="1507"/>
      <c r="I1500" s="1508"/>
      <c r="J1500" s="1508"/>
      <c r="K1500" s="1509"/>
      <c r="L1500" s="1509"/>
      <c r="M1500" s="1509"/>
      <c r="N1500" s="1509"/>
      <c r="O1500" s="1509"/>
      <c r="P1500" s="1509"/>
      <c r="Q1500" s="1314"/>
      <c r="R1500" s="1314"/>
      <c r="S1500" s="1314"/>
      <c r="T1500" s="1314"/>
      <c r="U1500" s="1314"/>
      <c r="V1500" s="1314"/>
      <c r="W1500" s="1314"/>
      <c r="X1500" s="1314"/>
      <c r="Y1500" s="1314"/>
      <c r="Z1500" s="1314"/>
    </row>
    <row r="1501" spans="1:26" ht="18.75">
      <c r="A1501" s="1393"/>
      <c r="B1501" s="1393"/>
      <c r="C1501" s="1393"/>
      <c r="D1501" s="1506"/>
      <c r="E1501" s="1393"/>
      <c r="F1501" s="1393"/>
      <c r="G1501" s="1393"/>
      <c r="H1501" s="1507"/>
      <c r="I1501" s="1508"/>
      <c r="J1501" s="1508"/>
      <c r="K1501" s="1509"/>
      <c r="L1501" s="1509"/>
      <c r="M1501" s="1509"/>
      <c r="N1501" s="1509"/>
      <c r="O1501" s="1509"/>
      <c r="P1501" s="1509"/>
      <c r="Q1501" s="1314"/>
      <c r="R1501" s="1314"/>
      <c r="S1501" s="1314"/>
      <c r="T1501" s="1314"/>
      <c r="U1501" s="1314"/>
      <c r="V1501" s="1314"/>
      <c r="W1501" s="1314"/>
      <c r="X1501" s="1314"/>
      <c r="Y1501" s="1314"/>
      <c r="Z1501" s="1314"/>
    </row>
    <row r="1502" spans="1:26" ht="18.75">
      <c r="A1502" s="1393"/>
      <c r="B1502" s="1393"/>
      <c r="C1502" s="1393"/>
      <c r="D1502" s="1506"/>
      <c r="E1502" s="1393"/>
      <c r="F1502" s="1393"/>
      <c r="G1502" s="1393"/>
      <c r="H1502" s="1507"/>
      <c r="I1502" s="1508"/>
      <c r="J1502" s="1508"/>
      <c r="K1502" s="1509"/>
      <c r="L1502" s="1509"/>
      <c r="M1502" s="1509"/>
      <c r="N1502" s="1509"/>
      <c r="O1502" s="1509"/>
      <c r="P1502" s="1509"/>
      <c r="Q1502" s="1314"/>
      <c r="R1502" s="1314"/>
      <c r="S1502" s="1314"/>
      <c r="T1502" s="1314"/>
      <c r="U1502" s="1314"/>
      <c r="V1502" s="1314"/>
      <c r="W1502" s="1314"/>
      <c r="X1502" s="1314"/>
      <c r="Y1502" s="1314"/>
      <c r="Z1502" s="1314"/>
    </row>
    <row r="1503" spans="1:26" ht="18.75">
      <c r="A1503" s="1393"/>
      <c r="B1503" s="1393"/>
      <c r="C1503" s="1393"/>
      <c r="D1503" s="1506"/>
      <c r="E1503" s="1393"/>
      <c r="F1503" s="1393"/>
      <c r="G1503" s="1393"/>
      <c r="H1503" s="1507"/>
      <c r="I1503" s="1508"/>
      <c r="J1503" s="1508"/>
      <c r="K1503" s="1509"/>
      <c r="L1503" s="1509"/>
      <c r="M1503" s="1509"/>
      <c r="N1503" s="1509"/>
      <c r="O1503" s="1509"/>
      <c r="P1503" s="1509"/>
      <c r="Q1503" s="1314"/>
      <c r="R1503" s="1314"/>
      <c r="S1503" s="1314"/>
      <c r="T1503" s="1314"/>
      <c r="U1503" s="1314"/>
      <c r="V1503" s="1314"/>
      <c r="W1503" s="1314"/>
      <c r="X1503" s="1314"/>
      <c r="Y1503" s="1314"/>
      <c r="Z1503" s="1314"/>
    </row>
    <row r="1504" spans="1:26" ht="18.75">
      <c r="A1504" s="1393"/>
      <c r="B1504" s="1393"/>
      <c r="C1504" s="1393"/>
      <c r="D1504" s="1506"/>
      <c r="E1504" s="1393"/>
      <c r="F1504" s="1393"/>
      <c r="G1504" s="1393"/>
      <c r="H1504" s="1507"/>
      <c r="I1504" s="1508"/>
      <c r="J1504" s="1508"/>
      <c r="K1504" s="1509"/>
      <c r="L1504" s="1509"/>
      <c r="M1504" s="1509"/>
      <c r="N1504" s="1509"/>
      <c r="O1504" s="1509"/>
      <c r="P1504" s="1509"/>
      <c r="Q1504" s="1314"/>
      <c r="R1504" s="1314"/>
      <c r="S1504" s="1314"/>
      <c r="T1504" s="1314"/>
      <c r="U1504" s="1314"/>
      <c r="V1504" s="1314"/>
      <c r="W1504" s="1314"/>
      <c r="X1504" s="1314"/>
      <c r="Y1504" s="1314"/>
      <c r="Z1504" s="1314"/>
    </row>
    <row r="1505" spans="1:26" ht="18.75">
      <c r="A1505" s="1393"/>
      <c r="B1505" s="1393"/>
      <c r="C1505" s="1393"/>
      <c r="D1505" s="1506"/>
      <c r="E1505" s="1393"/>
      <c r="F1505" s="1393"/>
      <c r="G1505" s="1393"/>
      <c r="H1505" s="1507"/>
      <c r="I1505" s="1508"/>
      <c r="J1505" s="1508"/>
      <c r="K1505" s="1509"/>
      <c r="L1505" s="1509"/>
      <c r="M1505" s="1509"/>
      <c r="N1505" s="1509"/>
      <c r="O1505" s="1509"/>
      <c r="P1505" s="1509"/>
      <c r="Q1505" s="1314"/>
      <c r="R1505" s="1314"/>
      <c r="S1505" s="1314"/>
      <c r="T1505" s="1314"/>
      <c r="U1505" s="1314"/>
      <c r="V1505" s="1314"/>
      <c r="W1505" s="1314"/>
      <c r="X1505" s="1314"/>
      <c r="Y1505" s="1314"/>
      <c r="Z1505" s="1314"/>
    </row>
    <row r="1506" spans="1:26" ht="18.75">
      <c r="A1506" s="1393"/>
      <c r="B1506" s="1393"/>
      <c r="C1506" s="1393"/>
      <c r="D1506" s="1506"/>
      <c r="E1506" s="1393"/>
      <c r="F1506" s="1393"/>
      <c r="G1506" s="1393"/>
      <c r="H1506" s="1507"/>
      <c r="I1506" s="1508"/>
      <c r="J1506" s="1508"/>
      <c r="K1506" s="1509"/>
      <c r="L1506" s="1509"/>
      <c r="M1506" s="1509"/>
      <c r="N1506" s="1509"/>
      <c r="O1506" s="1509"/>
      <c r="P1506" s="1509"/>
      <c r="Q1506" s="1314"/>
      <c r="R1506" s="1314"/>
      <c r="S1506" s="1314"/>
      <c r="T1506" s="1314"/>
      <c r="U1506" s="1314"/>
      <c r="V1506" s="1314"/>
      <c r="W1506" s="1314"/>
      <c r="X1506" s="1314"/>
      <c r="Y1506" s="1314"/>
      <c r="Z1506" s="1314"/>
    </row>
    <row r="1507" spans="1:26" ht="18.75">
      <c r="A1507" s="1393"/>
      <c r="B1507" s="1393"/>
      <c r="C1507" s="1393"/>
      <c r="D1507" s="1506"/>
      <c r="E1507" s="1393"/>
      <c r="F1507" s="1393"/>
      <c r="G1507" s="1393"/>
      <c r="H1507" s="1507"/>
      <c r="I1507" s="1508"/>
      <c r="J1507" s="1508"/>
      <c r="K1507" s="1509"/>
      <c r="L1507" s="1509"/>
      <c r="M1507" s="1509"/>
      <c r="N1507" s="1509"/>
      <c r="O1507" s="1509"/>
      <c r="P1507" s="1509"/>
      <c r="Q1507" s="1314"/>
      <c r="R1507" s="1314"/>
      <c r="S1507" s="1314"/>
      <c r="T1507" s="1314"/>
      <c r="U1507" s="1314"/>
      <c r="V1507" s="1314"/>
      <c r="W1507" s="1314"/>
      <c r="X1507" s="1314"/>
      <c r="Y1507" s="1314"/>
      <c r="Z1507" s="1314"/>
    </row>
    <row r="1508" spans="1:26" ht="18.75">
      <c r="A1508" s="1393"/>
      <c r="B1508" s="1393"/>
      <c r="C1508" s="1393"/>
      <c r="D1508" s="1506"/>
      <c r="E1508" s="1393"/>
      <c r="F1508" s="1393"/>
      <c r="G1508" s="1393"/>
      <c r="H1508" s="1507"/>
      <c r="I1508" s="1508"/>
      <c r="J1508" s="1508"/>
      <c r="K1508" s="1509"/>
      <c r="L1508" s="1509"/>
      <c r="M1508" s="1509"/>
      <c r="N1508" s="1509"/>
      <c r="O1508" s="1509"/>
      <c r="P1508" s="1509"/>
      <c r="Q1508" s="1314"/>
      <c r="R1508" s="1314"/>
      <c r="S1508" s="1314"/>
      <c r="T1508" s="1314"/>
      <c r="U1508" s="1314"/>
      <c r="V1508" s="1314"/>
      <c r="W1508" s="1314"/>
      <c r="X1508" s="1314"/>
      <c r="Y1508" s="1314"/>
      <c r="Z1508" s="1314"/>
    </row>
    <row r="1509" spans="1:26" ht="18.75">
      <c r="A1509" s="1393"/>
      <c r="B1509" s="1393"/>
      <c r="C1509" s="1393"/>
      <c r="D1509" s="1506"/>
      <c r="E1509" s="1393"/>
      <c r="F1509" s="1393"/>
      <c r="G1509" s="1393"/>
      <c r="H1509" s="1507"/>
      <c r="I1509" s="1508"/>
      <c r="J1509" s="1508"/>
      <c r="K1509" s="1509"/>
      <c r="L1509" s="1509"/>
      <c r="M1509" s="1509"/>
      <c r="N1509" s="1509"/>
      <c r="O1509" s="1509"/>
      <c r="P1509" s="1509"/>
      <c r="Q1509" s="1314"/>
      <c r="R1509" s="1314"/>
      <c r="S1509" s="1314"/>
      <c r="T1509" s="1314"/>
      <c r="U1509" s="1314"/>
      <c r="V1509" s="1314"/>
      <c r="W1509" s="1314"/>
      <c r="X1509" s="1314"/>
      <c r="Y1509" s="1314"/>
      <c r="Z1509" s="1314"/>
    </row>
    <row r="1510" spans="1:26" ht="18.75">
      <c r="A1510" s="1393"/>
      <c r="B1510" s="1393"/>
      <c r="C1510" s="1393"/>
      <c r="D1510" s="1506"/>
      <c r="E1510" s="1393"/>
      <c r="F1510" s="1393"/>
      <c r="G1510" s="1393"/>
      <c r="H1510" s="1507"/>
      <c r="I1510" s="1508"/>
      <c r="J1510" s="1508"/>
      <c r="K1510" s="1509"/>
      <c r="L1510" s="1509"/>
      <c r="M1510" s="1509"/>
      <c r="N1510" s="1509"/>
      <c r="O1510" s="1509"/>
      <c r="P1510" s="1509"/>
      <c r="Q1510" s="1314"/>
      <c r="R1510" s="1314"/>
      <c r="S1510" s="1314"/>
      <c r="T1510" s="1314"/>
      <c r="U1510" s="1314"/>
      <c r="V1510" s="1314"/>
      <c r="W1510" s="1314"/>
      <c r="X1510" s="1314"/>
      <c r="Y1510" s="1314"/>
      <c r="Z1510" s="1314"/>
    </row>
    <row r="1511" spans="1:26" ht="18.75">
      <c r="A1511" s="1393"/>
      <c r="B1511" s="1393"/>
      <c r="C1511" s="1393"/>
      <c r="D1511" s="1506"/>
      <c r="E1511" s="1393"/>
      <c r="F1511" s="1393"/>
      <c r="G1511" s="1393"/>
      <c r="H1511" s="1507"/>
      <c r="I1511" s="1508"/>
      <c r="J1511" s="1508"/>
      <c r="K1511" s="1509"/>
      <c r="L1511" s="1509"/>
      <c r="M1511" s="1509"/>
      <c r="N1511" s="1509"/>
      <c r="O1511" s="1509"/>
      <c r="P1511" s="1509"/>
      <c r="Q1511" s="1314"/>
      <c r="R1511" s="1314"/>
      <c r="S1511" s="1314"/>
      <c r="T1511" s="1314"/>
      <c r="U1511" s="1314"/>
      <c r="V1511" s="1314"/>
      <c r="W1511" s="1314"/>
      <c r="X1511" s="1314"/>
      <c r="Y1511" s="1314"/>
      <c r="Z1511" s="1314"/>
    </row>
    <row r="1512" spans="1:26" ht="18.75">
      <c r="A1512" s="1393"/>
      <c r="B1512" s="1393"/>
      <c r="C1512" s="1393"/>
      <c r="D1512" s="1506"/>
      <c r="E1512" s="1393"/>
      <c r="F1512" s="1393"/>
      <c r="G1512" s="1393"/>
      <c r="H1512" s="1507"/>
      <c r="I1512" s="1508"/>
      <c r="J1512" s="1508"/>
      <c r="K1512" s="1509"/>
      <c r="L1512" s="1509"/>
      <c r="M1512" s="1509"/>
      <c r="N1512" s="1509"/>
      <c r="O1512" s="1509"/>
      <c r="P1512" s="1509"/>
      <c r="Q1512" s="1314"/>
      <c r="R1512" s="1314"/>
      <c r="S1512" s="1314"/>
      <c r="T1512" s="1314"/>
      <c r="U1512" s="1314"/>
      <c r="V1512" s="1314"/>
      <c r="W1512" s="1314"/>
      <c r="X1512" s="1314"/>
      <c r="Y1512" s="1314"/>
      <c r="Z1512" s="1314"/>
    </row>
    <row r="1513" spans="1:26" ht="18.75">
      <c r="A1513" s="1393"/>
      <c r="B1513" s="1393"/>
      <c r="C1513" s="1393"/>
      <c r="D1513" s="1506"/>
      <c r="E1513" s="1393"/>
      <c r="F1513" s="1393"/>
      <c r="G1513" s="1393"/>
      <c r="H1513" s="1507"/>
      <c r="I1513" s="1508"/>
      <c r="J1513" s="1508"/>
      <c r="K1513" s="1509"/>
      <c r="L1513" s="1509"/>
      <c r="M1513" s="1509"/>
      <c r="N1513" s="1509"/>
      <c r="O1513" s="1509"/>
      <c r="P1513" s="1509"/>
      <c r="Q1513" s="1314"/>
      <c r="R1513" s="1314"/>
      <c r="S1513" s="1314"/>
      <c r="T1513" s="1314"/>
      <c r="U1513" s="1314"/>
      <c r="V1513" s="1314"/>
      <c r="W1513" s="1314"/>
      <c r="X1513" s="1314"/>
      <c r="Y1513" s="1314"/>
      <c r="Z1513" s="1314"/>
    </row>
    <row r="1514" spans="1:26" ht="18.75">
      <c r="A1514" s="1393"/>
      <c r="B1514" s="1393"/>
      <c r="C1514" s="1393"/>
      <c r="D1514" s="1506"/>
      <c r="E1514" s="1393"/>
      <c r="F1514" s="1393"/>
      <c r="G1514" s="1393"/>
      <c r="H1514" s="1507"/>
      <c r="I1514" s="1508"/>
      <c r="J1514" s="1508"/>
      <c r="K1514" s="1509"/>
      <c r="L1514" s="1509"/>
      <c r="M1514" s="1509"/>
      <c r="N1514" s="1509"/>
      <c r="O1514" s="1509"/>
      <c r="P1514" s="1509"/>
      <c r="Q1514" s="1314"/>
      <c r="R1514" s="1314"/>
      <c r="S1514" s="1314"/>
      <c r="T1514" s="1314"/>
      <c r="U1514" s="1314"/>
      <c r="V1514" s="1314"/>
      <c r="W1514" s="1314"/>
      <c r="X1514" s="1314"/>
      <c r="Y1514" s="1314"/>
      <c r="Z1514" s="1314"/>
    </row>
    <row r="1515" spans="1:26" ht="18.75">
      <c r="A1515" s="1393"/>
      <c r="B1515" s="1393"/>
      <c r="C1515" s="1393"/>
      <c r="D1515" s="1506"/>
      <c r="E1515" s="1393"/>
      <c r="F1515" s="1393"/>
      <c r="G1515" s="1393"/>
      <c r="H1515" s="1507"/>
      <c r="I1515" s="1508"/>
      <c r="J1515" s="1508"/>
      <c r="K1515" s="1509"/>
      <c r="L1515" s="1509"/>
      <c r="M1515" s="1509"/>
      <c r="N1515" s="1509"/>
      <c r="O1515" s="1509"/>
      <c r="P1515" s="1509"/>
      <c r="Q1515" s="1314"/>
      <c r="R1515" s="1314"/>
      <c r="S1515" s="1314"/>
      <c r="T1515" s="1314"/>
      <c r="U1515" s="1314"/>
      <c r="V1515" s="1314"/>
      <c r="W1515" s="1314"/>
      <c r="X1515" s="1314"/>
      <c r="Y1515" s="1314"/>
      <c r="Z1515" s="1314"/>
    </row>
    <row r="1516" spans="1:26" ht="18.75">
      <c r="A1516" s="1393"/>
      <c r="B1516" s="1393"/>
      <c r="C1516" s="1393"/>
      <c r="D1516" s="1506"/>
      <c r="E1516" s="1393"/>
      <c r="F1516" s="1393"/>
      <c r="G1516" s="1393"/>
      <c r="H1516" s="1507"/>
      <c r="I1516" s="1508"/>
      <c r="J1516" s="1508"/>
      <c r="K1516" s="1509"/>
      <c r="L1516" s="1509"/>
      <c r="M1516" s="1509"/>
      <c r="N1516" s="1509"/>
      <c r="O1516" s="1509"/>
      <c r="P1516" s="1509"/>
      <c r="Q1516" s="1314"/>
      <c r="R1516" s="1314"/>
      <c r="S1516" s="1314"/>
      <c r="T1516" s="1314"/>
      <c r="U1516" s="1314"/>
      <c r="V1516" s="1314"/>
      <c r="W1516" s="1314"/>
      <c r="X1516" s="1314"/>
      <c r="Y1516" s="1314"/>
      <c r="Z1516" s="1314"/>
    </row>
    <row r="1517" spans="1:26" ht="18.75">
      <c r="A1517" s="1393"/>
      <c r="B1517" s="1393"/>
      <c r="C1517" s="1393"/>
      <c r="D1517" s="1506"/>
      <c r="E1517" s="1393"/>
      <c r="F1517" s="1393"/>
      <c r="G1517" s="1393"/>
      <c r="H1517" s="1507"/>
      <c r="I1517" s="1508"/>
      <c r="J1517" s="1508"/>
      <c r="K1517" s="1509"/>
      <c r="L1517" s="1509"/>
      <c r="M1517" s="1509"/>
      <c r="N1517" s="1509"/>
      <c r="O1517" s="1509"/>
      <c r="P1517" s="1509"/>
      <c r="Q1517" s="1314"/>
      <c r="R1517" s="1314"/>
      <c r="S1517" s="1314"/>
      <c r="T1517" s="1314"/>
      <c r="U1517" s="1314"/>
      <c r="V1517" s="1314"/>
      <c r="W1517" s="1314"/>
      <c r="X1517" s="1314"/>
      <c r="Y1517" s="1314"/>
      <c r="Z1517" s="1314"/>
    </row>
    <row r="1518" spans="1:26" ht="18.75">
      <c r="A1518" s="1393"/>
      <c r="B1518" s="1393"/>
      <c r="C1518" s="1393"/>
      <c r="D1518" s="1506"/>
      <c r="E1518" s="1393"/>
      <c r="F1518" s="1393"/>
      <c r="G1518" s="1393"/>
      <c r="H1518" s="1507"/>
      <c r="I1518" s="1508"/>
      <c r="J1518" s="1508"/>
      <c r="K1518" s="1509"/>
      <c r="L1518" s="1509"/>
      <c r="M1518" s="1509"/>
      <c r="N1518" s="1509"/>
      <c r="O1518" s="1509"/>
      <c r="P1518" s="1509"/>
      <c r="Q1518" s="1314"/>
      <c r="R1518" s="1314"/>
      <c r="S1518" s="1314"/>
      <c r="T1518" s="1314"/>
      <c r="U1518" s="1314"/>
      <c r="V1518" s="1314"/>
      <c r="W1518" s="1314"/>
      <c r="X1518" s="1314"/>
      <c r="Y1518" s="1314"/>
      <c r="Z1518" s="1314"/>
    </row>
    <row r="1519" spans="1:26" ht="18.75">
      <c r="A1519" s="1393"/>
      <c r="B1519" s="1393"/>
      <c r="C1519" s="1393"/>
      <c r="D1519" s="1506"/>
      <c r="E1519" s="1393"/>
      <c r="F1519" s="1393"/>
      <c r="G1519" s="1393"/>
      <c r="H1519" s="1507"/>
      <c r="I1519" s="1508"/>
      <c r="J1519" s="1508"/>
      <c r="K1519" s="1509"/>
      <c r="L1519" s="1509"/>
      <c r="M1519" s="1509"/>
      <c r="N1519" s="1509"/>
      <c r="O1519" s="1509"/>
      <c r="P1519" s="1509"/>
      <c r="Q1519" s="1314"/>
      <c r="R1519" s="1314"/>
      <c r="S1519" s="1314"/>
      <c r="T1519" s="1314"/>
      <c r="U1519" s="1314"/>
      <c r="V1519" s="1314"/>
      <c r="W1519" s="1314"/>
      <c r="X1519" s="1314"/>
      <c r="Y1519" s="1314"/>
      <c r="Z1519" s="1314"/>
    </row>
    <row r="1520" spans="1:26" ht="18.75">
      <c r="A1520" s="1393"/>
      <c r="B1520" s="1393"/>
      <c r="C1520" s="1393"/>
      <c r="D1520" s="1506"/>
      <c r="E1520" s="1393"/>
      <c r="F1520" s="1393"/>
      <c r="G1520" s="1393"/>
      <c r="H1520" s="1507"/>
      <c r="I1520" s="1508"/>
      <c r="J1520" s="1508"/>
      <c r="K1520" s="1509"/>
      <c r="L1520" s="1509"/>
      <c r="M1520" s="1509"/>
      <c r="N1520" s="1509"/>
      <c r="O1520" s="1509"/>
      <c r="P1520" s="1509"/>
      <c r="Q1520" s="1314"/>
      <c r="R1520" s="1314"/>
      <c r="S1520" s="1314"/>
      <c r="T1520" s="1314"/>
      <c r="U1520" s="1314"/>
      <c r="V1520" s="1314"/>
      <c r="W1520" s="1314"/>
      <c r="X1520" s="1314"/>
      <c r="Y1520" s="1314"/>
      <c r="Z1520" s="1314"/>
    </row>
    <row r="1521" spans="1:26" ht="18.75">
      <c r="A1521" s="1393"/>
      <c r="B1521" s="1393"/>
      <c r="C1521" s="1393"/>
      <c r="D1521" s="1506"/>
      <c r="E1521" s="1393"/>
      <c r="F1521" s="1393"/>
      <c r="G1521" s="1393"/>
      <c r="H1521" s="1507"/>
      <c r="I1521" s="1508"/>
      <c r="J1521" s="1508"/>
      <c r="K1521" s="1509"/>
      <c r="L1521" s="1509"/>
      <c r="M1521" s="1509"/>
      <c r="N1521" s="1509"/>
      <c r="O1521" s="1509"/>
      <c r="P1521" s="1509"/>
      <c r="Q1521" s="1314"/>
      <c r="R1521" s="1314"/>
      <c r="S1521" s="1314"/>
      <c r="T1521" s="1314"/>
      <c r="U1521" s="1314"/>
      <c r="V1521" s="1314"/>
      <c r="W1521" s="1314"/>
      <c r="X1521" s="1314"/>
      <c r="Y1521" s="1314"/>
      <c r="Z1521" s="1314"/>
    </row>
    <row r="1522" spans="1:26" ht="18.75">
      <c r="A1522" s="1393"/>
      <c r="B1522" s="1393"/>
      <c r="C1522" s="1393"/>
      <c r="D1522" s="1506"/>
      <c r="E1522" s="1393"/>
      <c r="F1522" s="1393"/>
      <c r="G1522" s="1393"/>
      <c r="H1522" s="1507"/>
      <c r="I1522" s="1508"/>
      <c r="J1522" s="1508"/>
      <c r="K1522" s="1509"/>
      <c r="L1522" s="1509"/>
      <c r="M1522" s="1509"/>
      <c r="N1522" s="1509"/>
      <c r="O1522" s="1509"/>
      <c r="P1522" s="1509"/>
      <c r="Q1522" s="1314"/>
      <c r="R1522" s="1314"/>
      <c r="S1522" s="1314"/>
      <c r="T1522" s="1314"/>
      <c r="U1522" s="1314"/>
      <c r="V1522" s="1314"/>
      <c r="W1522" s="1314"/>
      <c r="X1522" s="1314"/>
      <c r="Y1522" s="1314"/>
      <c r="Z1522" s="1314"/>
    </row>
    <row r="1523" spans="1:26" ht="18.75">
      <c r="A1523" s="1393"/>
      <c r="B1523" s="1393"/>
      <c r="C1523" s="1393"/>
      <c r="D1523" s="1506"/>
      <c r="E1523" s="1393"/>
      <c r="F1523" s="1393"/>
      <c r="G1523" s="1393"/>
      <c r="H1523" s="1507"/>
      <c r="I1523" s="1508"/>
      <c r="J1523" s="1508"/>
      <c r="K1523" s="1509"/>
      <c r="L1523" s="1509"/>
      <c r="M1523" s="1509"/>
      <c r="N1523" s="1509"/>
      <c r="O1523" s="1509"/>
      <c r="P1523" s="1509"/>
      <c r="Q1523" s="1314"/>
      <c r="R1523" s="1314"/>
      <c r="S1523" s="1314"/>
      <c r="T1523" s="1314"/>
      <c r="U1523" s="1314"/>
      <c r="V1523" s="1314"/>
      <c r="W1523" s="1314"/>
      <c r="X1523" s="1314"/>
      <c r="Y1523" s="1314"/>
      <c r="Z1523" s="1314"/>
    </row>
    <row r="1524" spans="1:26" ht="18.75">
      <c r="A1524" s="1393"/>
      <c r="B1524" s="1393"/>
      <c r="C1524" s="1393"/>
      <c r="D1524" s="1506"/>
      <c r="E1524" s="1393"/>
      <c r="F1524" s="1393"/>
      <c r="G1524" s="1393"/>
      <c r="H1524" s="1507"/>
      <c r="I1524" s="1508"/>
      <c r="J1524" s="1508"/>
      <c r="K1524" s="1509"/>
      <c r="L1524" s="1509"/>
      <c r="M1524" s="1509"/>
      <c r="N1524" s="1509"/>
      <c r="O1524" s="1509"/>
      <c r="P1524" s="1509"/>
      <c r="Q1524" s="1314"/>
      <c r="R1524" s="1314"/>
      <c r="S1524" s="1314"/>
      <c r="T1524" s="1314"/>
      <c r="U1524" s="1314"/>
      <c r="V1524" s="1314"/>
      <c r="W1524" s="1314"/>
      <c r="X1524" s="1314"/>
      <c r="Y1524" s="1314"/>
      <c r="Z1524" s="1314"/>
    </row>
    <row r="1525" spans="1:26" ht="18.75">
      <c r="A1525" s="1393"/>
      <c r="B1525" s="1393"/>
      <c r="C1525" s="1393"/>
      <c r="D1525" s="1506"/>
      <c r="E1525" s="1393"/>
      <c r="F1525" s="1393"/>
      <c r="G1525" s="1393"/>
      <c r="H1525" s="1507"/>
      <c r="I1525" s="1508"/>
      <c r="J1525" s="1508"/>
      <c r="K1525" s="1509"/>
      <c r="L1525" s="1509"/>
      <c r="M1525" s="1509"/>
      <c r="N1525" s="1509"/>
      <c r="O1525" s="1509"/>
      <c r="P1525" s="1509"/>
      <c r="Q1525" s="1314"/>
      <c r="R1525" s="1314"/>
      <c r="S1525" s="1314"/>
      <c r="T1525" s="1314"/>
      <c r="U1525" s="1314"/>
      <c r="V1525" s="1314"/>
      <c r="W1525" s="1314"/>
      <c r="X1525" s="1314"/>
      <c r="Y1525" s="1314"/>
      <c r="Z1525" s="1314"/>
    </row>
    <row r="1526" spans="1:26" ht="18.75">
      <c r="A1526" s="1393"/>
      <c r="B1526" s="1393"/>
      <c r="C1526" s="1393"/>
      <c r="D1526" s="1506"/>
      <c r="E1526" s="1393"/>
      <c r="F1526" s="1393"/>
      <c r="G1526" s="1393"/>
      <c r="H1526" s="1507"/>
      <c r="I1526" s="1508"/>
      <c r="J1526" s="1508"/>
      <c r="K1526" s="1509"/>
      <c r="L1526" s="1509"/>
      <c r="M1526" s="1509"/>
      <c r="N1526" s="1509"/>
      <c r="O1526" s="1509"/>
      <c r="P1526" s="1509"/>
      <c r="Q1526" s="1314"/>
      <c r="R1526" s="1314"/>
      <c r="S1526" s="1314"/>
      <c r="T1526" s="1314"/>
      <c r="U1526" s="1314"/>
      <c r="V1526" s="1314"/>
      <c r="W1526" s="1314"/>
      <c r="X1526" s="1314"/>
      <c r="Y1526" s="1314"/>
      <c r="Z1526" s="1314"/>
    </row>
    <row r="1527" spans="1:26" ht="18.75">
      <c r="A1527" s="1393"/>
      <c r="B1527" s="1393"/>
      <c r="C1527" s="1393"/>
      <c r="D1527" s="1506"/>
      <c r="E1527" s="1393"/>
      <c r="F1527" s="1393"/>
      <c r="G1527" s="1393"/>
      <c r="H1527" s="1507"/>
      <c r="I1527" s="1508"/>
      <c r="J1527" s="1508"/>
      <c r="K1527" s="1509"/>
      <c r="L1527" s="1509"/>
      <c r="M1527" s="1509"/>
      <c r="N1527" s="1509"/>
      <c r="O1527" s="1509"/>
      <c r="P1527" s="1509"/>
      <c r="Q1527" s="1314"/>
      <c r="R1527" s="1314"/>
      <c r="S1527" s="1314"/>
      <c r="T1527" s="1314"/>
      <c r="U1527" s="1314"/>
      <c r="V1527" s="1314"/>
      <c r="W1527" s="1314"/>
      <c r="X1527" s="1314"/>
      <c r="Y1527" s="1314"/>
      <c r="Z1527" s="1314"/>
    </row>
    <row r="1528" spans="1:26" ht="18.75">
      <c r="A1528" s="1393"/>
      <c r="B1528" s="1393"/>
      <c r="C1528" s="1393"/>
      <c r="D1528" s="1506"/>
      <c r="E1528" s="1393"/>
      <c r="F1528" s="1393"/>
      <c r="G1528" s="1393"/>
      <c r="H1528" s="1507"/>
      <c r="I1528" s="1508"/>
      <c r="J1528" s="1508"/>
      <c r="K1528" s="1509"/>
      <c r="L1528" s="1509"/>
      <c r="M1528" s="1509"/>
      <c r="N1528" s="1509"/>
      <c r="O1528" s="1509"/>
      <c r="P1528" s="1509"/>
      <c r="Q1528" s="1314"/>
      <c r="R1528" s="1314"/>
      <c r="S1528" s="1314"/>
      <c r="T1528" s="1314"/>
      <c r="U1528" s="1314"/>
      <c r="V1528" s="1314"/>
      <c r="W1528" s="1314"/>
      <c r="X1528" s="1314"/>
      <c r="Y1528" s="1314"/>
      <c r="Z1528" s="1314"/>
    </row>
    <row r="1529" spans="1:26" ht="18.75">
      <c r="A1529" s="1393"/>
      <c r="B1529" s="1393"/>
      <c r="C1529" s="1393"/>
      <c r="D1529" s="1506"/>
      <c r="E1529" s="1393"/>
      <c r="F1529" s="1393"/>
      <c r="G1529" s="1393"/>
      <c r="H1529" s="1507"/>
      <c r="I1529" s="1508"/>
      <c r="J1529" s="1508"/>
      <c r="K1529" s="1509"/>
      <c r="L1529" s="1509"/>
      <c r="M1529" s="1509"/>
      <c r="N1529" s="1509"/>
      <c r="O1529" s="1509"/>
      <c r="P1529" s="1509"/>
      <c r="Q1529" s="1314"/>
      <c r="R1529" s="1314"/>
      <c r="S1529" s="1314"/>
      <c r="T1529" s="1314"/>
      <c r="U1529" s="1314"/>
      <c r="V1529" s="1314"/>
      <c r="W1529" s="1314"/>
      <c r="X1529" s="1314"/>
      <c r="Y1529" s="1314"/>
      <c r="Z1529" s="1314"/>
    </row>
    <row r="1530" spans="1:26" ht="18.75">
      <c r="A1530" s="1393"/>
      <c r="B1530" s="1393"/>
      <c r="C1530" s="1393"/>
      <c r="D1530" s="1506"/>
      <c r="E1530" s="1393"/>
      <c r="F1530" s="1393"/>
      <c r="G1530" s="1393"/>
      <c r="H1530" s="1507"/>
      <c r="I1530" s="1508"/>
      <c r="J1530" s="1508"/>
      <c r="K1530" s="1509"/>
      <c r="L1530" s="1509"/>
      <c r="M1530" s="1509"/>
      <c r="N1530" s="1509"/>
      <c r="O1530" s="1509"/>
      <c r="P1530" s="1509"/>
      <c r="Q1530" s="1314"/>
      <c r="R1530" s="1314"/>
      <c r="S1530" s="1314"/>
      <c r="T1530" s="1314"/>
      <c r="U1530" s="1314"/>
      <c r="V1530" s="1314"/>
      <c r="W1530" s="1314"/>
      <c r="X1530" s="1314"/>
      <c r="Y1530" s="1314"/>
      <c r="Z1530" s="1314"/>
    </row>
    <row r="1531" spans="1:26" ht="18.75">
      <c r="A1531" s="1393"/>
      <c r="B1531" s="1393"/>
      <c r="C1531" s="1393"/>
      <c r="D1531" s="1506"/>
      <c r="E1531" s="1393"/>
      <c r="F1531" s="1393"/>
      <c r="G1531" s="1393"/>
      <c r="H1531" s="1507"/>
      <c r="I1531" s="1508"/>
      <c r="J1531" s="1508"/>
      <c r="K1531" s="1509"/>
      <c r="L1531" s="1509"/>
      <c r="M1531" s="1509"/>
      <c r="N1531" s="1509"/>
      <c r="O1531" s="1509"/>
      <c r="P1531" s="1509"/>
      <c r="Q1531" s="1314"/>
      <c r="R1531" s="1314"/>
      <c r="S1531" s="1314"/>
      <c r="T1531" s="1314"/>
      <c r="U1531" s="1314"/>
      <c r="V1531" s="1314"/>
      <c r="W1531" s="1314"/>
      <c r="X1531" s="1314"/>
      <c r="Y1531" s="1314"/>
      <c r="Z1531" s="1314"/>
    </row>
    <row r="1532" spans="1:26" ht="18.75">
      <c r="A1532" s="1393"/>
      <c r="B1532" s="1393"/>
      <c r="C1532" s="1393"/>
      <c r="D1532" s="1506"/>
      <c r="E1532" s="1393"/>
      <c r="F1532" s="1393"/>
      <c r="G1532" s="1393"/>
      <c r="H1532" s="1507"/>
      <c r="I1532" s="1508"/>
      <c r="J1532" s="1508"/>
      <c r="K1532" s="1509"/>
      <c r="L1532" s="1509"/>
      <c r="M1532" s="1509"/>
      <c r="N1532" s="1509"/>
      <c r="O1532" s="1509"/>
      <c r="P1532" s="1509"/>
      <c r="Q1532" s="1314"/>
      <c r="R1532" s="1314"/>
      <c r="S1532" s="1314"/>
      <c r="T1532" s="1314"/>
      <c r="U1532" s="1314"/>
      <c r="V1532" s="1314"/>
      <c r="W1532" s="1314"/>
      <c r="X1532" s="1314"/>
      <c r="Y1532" s="1314"/>
      <c r="Z1532" s="1314"/>
    </row>
    <row r="1533" spans="1:26" ht="18.75">
      <c r="A1533" s="1393"/>
      <c r="B1533" s="1393"/>
      <c r="C1533" s="1393"/>
      <c r="D1533" s="1506"/>
      <c r="E1533" s="1393"/>
      <c r="F1533" s="1393"/>
      <c r="G1533" s="1393"/>
      <c r="H1533" s="1507"/>
      <c r="I1533" s="1508"/>
      <c r="J1533" s="1508"/>
      <c r="K1533" s="1509"/>
      <c r="L1533" s="1509"/>
      <c r="M1533" s="1509"/>
      <c r="N1533" s="1509"/>
      <c r="O1533" s="1509"/>
      <c r="P1533" s="1509"/>
      <c r="Q1533" s="1314"/>
      <c r="R1533" s="1314"/>
      <c r="S1533" s="1314"/>
      <c r="T1533" s="1314"/>
      <c r="U1533" s="1314"/>
      <c r="V1533" s="1314"/>
      <c r="W1533" s="1314"/>
      <c r="X1533" s="1314"/>
      <c r="Y1533" s="1314"/>
      <c r="Z1533" s="1314"/>
    </row>
    <row r="1534" spans="1:26" ht="18.75">
      <c r="A1534" s="1393"/>
      <c r="B1534" s="1393"/>
      <c r="C1534" s="1393"/>
      <c r="D1534" s="1506"/>
      <c r="E1534" s="1393"/>
      <c r="F1534" s="1393"/>
      <c r="G1534" s="1393"/>
      <c r="H1534" s="1507"/>
      <c r="I1534" s="1508"/>
      <c r="J1534" s="1508"/>
      <c r="K1534" s="1509"/>
      <c r="L1534" s="1509"/>
      <c r="M1534" s="1509"/>
      <c r="N1534" s="1509"/>
      <c r="O1534" s="1509"/>
      <c r="P1534" s="1509"/>
      <c r="Q1534" s="1314"/>
      <c r="R1534" s="1314"/>
      <c r="S1534" s="1314"/>
      <c r="T1534" s="1314"/>
      <c r="U1534" s="1314"/>
      <c r="V1534" s="1314"/>
      <c r="W1534" s="1314"/>
      <c r="X1534" s="1314"/>
      <c r="Y1534" s="1314"/>
      <c r="Z1534" s="1314"/>
    </row>
    <row r="1535" spans="1:26" ht="18.75">
      <c r="A1535" s="1393"/>
      <c r="B1535" s="1393"/>
      <c r="C1535" s="1393"/>
      <c r="D1535" s="1506"/>
      <c r="E1535" s="1393"/>
      <c r="F1535" s="1393"/>
      <c r="G1535" s="1393"/>
      <c r="H1535" s="1507"/>
      <c r="I1535" s="1508"/>
      <c r="J1535" s="1508"/>
      <c r="K1535" s="1509"/>
      <c r="L1535" s="1509"/>
      <c r="M1535" s="1509"/>
      <c r="N1535" s="1509"/>
      <c r="O1535" s="1509"/>
      <c r="P1535" s="1509"/>
      <c r="Q1535" s="1314"/>
      <c r="R1535" s="1314"/>
      <c r="S1535" s="1314"/>
      <c r="T1535" s="1314"/>
      <c r="U1535" s="1314"/>
      <c r="V1535" s="1314"/>
      <c r="W1535" s="1314"/>
      <c r="X1535" s="1314"/>
      <c r="Y1535" s="1314"/>
      <c r="Z1535" s="1314"/>
    </row>
    <row r="1536" spans="1:26" ht="18.75">
      <c r="A1536" s="1393"/>
      <c r="B1536" s="1393"/>
      <c r="C1536" s="1393"/>
      <c r="D1536" s="1506"/>
      <c r="E1536" s="1393"/>
      <c r="F1536" s="1393"/>
      <c r="G1536" s="1393"/>
      <c r="H1536" s="1507"/>
      <c r="I1536" s="1508"/>
      <c r="J1536" s="1508"/>
      <c r="K1536" s="1509"/>
      <c r="L1536" s="1509"/>
      <c r="M1536" s="1509"/>
      <c r="N1536" s="1509"/>
      <c r="O1536" s="1509"/>
      <c r="P1536" s="1509"/>
      <c r="Q1536" s="1314"/>
      <c r="R1536" s="1314"/>
      <c r="S1536" s="1314"/>
      <c r="T1536" s="1314"/>
      <c r="U1536" s="1314"/>
      <c r="V1536" s="1314"/>
      <c r="W1536" s="1314"/>
      <c r="X1536" s="1314"/>
      <c r="Y1536" s="1314"/>
      <c r="Z1536" s="1314"/>
    </row>
    <row r="1537" spans="1:26" ht="18.75">
      <c r="A1537" s="1393"/>
      <c r="B1537" s="1393"/>
      <c r="C1537" s="1393"/>
      <c r="D1537" s="1506"/>
      <c r="E1537" s="1393"/>
      <c r="F1537" s="1393"/>
      <c r="G1537" s="1393"/>
      <c r="H1537" s="1507"/>
      <c r="I1537" s="1508"/>
      <c r="J1537" s="1508"/>
      <c r="K1537" s="1509"/>
      <c r="L1537" s="1509"/>
      <c r="M1537" s="1509"/>
      <c r="N1537" s="1509"/>
      <c r="O1537" s="1509"/>
      <c r="P1537" s="1509"/>
      <c r="Q1537" s="1314"/>
      <c r="R1537" s="1314"/>
      <c r="S1537" s="1314"/>
      <c r="T1537" s="1314"/>
      <c r="U1537" s="1314"/>
      <c r="V1537" s="1314"/>
      <c r="W1537" s="1314"/>
      <c r="X1537" s="1314"/>
      <c r="Y1537" s="1314"/>
      <c r="Z1537" s="1314"/>
    </row>
    <row r="1538" spans="1:26" ht="18.75">
      <c r="A1538" s="1393"/>
      <c r="B1538" s="1393"/>
      <c r="C1538" s="1393"/>
      <c r="D1538" s="1506"/>
      <c r="E1538" s="1393"/>
      <c r="F1538" s="1393"/>
      <c r="G1538" s="1393"/>
      <c r="H1538" s="1507"/>
      <c r="I1538" s="1508"/>
      <c r="J1538" s="1508"/>
      <c r="K1538" s="1509"/>
      <c r="L1538" s="1509"/>
      <c r="M1538" s="1509"/>
      <c r="N1538" s="1509"/>
      <c r="O1538" s="1509"/>
      <c r="P1538" s="1509"/>
      <c r="Q1538" s="1314"/>
      <c r="R1538" s="1314"/>
      <c r="S1538" s="1314"/>
      <c r="T1538" s="1314"/>
      <c r="U1538" s="1314"/>
      <c r="V1538" s="1314"/>
      <c r="W1538" s="1314"/>
      <c r="X1538" s="1314"/>
      <c r="Y1538" s="1314"/>
      <c r="Z1538" s="1314"/>
    </row>
    <row r="1539" spans="1:26" ht="18.75">
      <c r="A1539" s="1393"/>
      <c r="B1539" s="1393"/>
      <c r="C1539" s="1393"/>
      <c r="D1539" s="1506"/>
      <c r="E1539" s="1393"/>
      <c r="F1539" s="1393"/>
      <c r="G1539" s="1393"/>
      <c r="H1539" s="1507"/>
      <c r="I1539" s="1508"/>
      <c r="J1539" s="1508"/>
      <c r="K1539" s="1509"/>
      <c r="L1539" s="1509"/>
      <c r="M1539" s="1509"/>
      <c r="N1539" s="1509"/>
      <c r="O1539" s="1509"/>
      <c r="P1539" s="1509"/>
      <c r="Q1539" s="1314"/>
      <c r="R1539" s="1314"/>
      <c r="S1539" s="1314"/>
      <c r="T1539" s="1314"/>
      <c r="U1539" s="1314"/>
      <c r="V1539" s="1314"/>
      <c r="W1539" s="1314"/>
      <c r="X1539" s="1314"/>
      <c r="Y1539" s="1314"/>
      <c r="Z1539" s="1314"/>
    </row>
    <row r="1540" spans="1:26" ht="18.75">
      <c r="A1540" s="1393"/>
      <c r="B1540" s="1393"/>
      <c r="C1540" s="1393"/>
      <c r="D1540" s="1506"/>
      <c r="E1540" s="1393"/>
      <c r="F1540" s="1393"/>
      <c r="G1540" s="1393"/>
      <c r="H1540" s="1507"/>
      <c r="I1540" s="1508"/>
      <c r="J1540" s="1508"/>
      <c r="K1540" s="1509"/>
      <c r="L1540" s="1509"/>
      <c r="M1540" s="1509"/>
      <c r="N1540" s="1509"/>
      <c r="O1540" s="1509"/>
      <c r="P1540" s="1509"/>
      <c r="Q1540" s="1314"/>
      <c r="R1540" s="1314"/>
      <c r="S1540" s="1314"/>
      <c r="T1540" s="1314"/>
      <c r="U1540" s="1314"/>
      <c r="V1540" s="1314"/>
      <c r="W1540" s="1314"/>
      <c r="X1540" s="1314"/>
      <c r="Y1540" s="1314"/>
      <c r="Z1540" s="1314"/>
    </row>
    <row r="1541" spans="1:26" ht="18.75">
      <c r="A1541" s="1393"/>
      <c r="B1541" s="1393"/>
      <c r="C1541" s="1393"/>
      <c r="D1541" s="1506"/>
      <c r="E1541" s="1393"/>
      <c r="F1541" s="1393"/>
      <c r="G1541" s="1393"/>
      <c r="H1541" s="1507"/>
      <c r="I1541" s="1508"/>
      <c r="J1541" s="1508"/>
      <c r="K1541" s="1509"/>
      <c r="L1541" s="1509"/>
      <c r="M1541" s="1509"/>
      <c r="N1541" s="1509"/>
      <c r="O1541" s="1509"/>
      <c r="P1541" s="1509"/>
      <c r="Q1541" s="1314"/>
      <c r="R1541" s="1314"/>
      <c r="S1541" s="1314"/>
      <c r="T1541" s="1314"/>
      <c r="U1541" s="1314"/>
      <c r="V1541" s="1314"/>
      <c r="W1541" s="1314"/>
      <c r="X1541" s="1314"/>
      <c r="Y1541" s="1314"/>
      <c r="Z1541" s="1314"/>
    </row>
    <row r="1542" spans="1:26" ht="18.75">
      <c r="A1542" s="1393"/>
      <c r="B1542" s="1393"/>
      <c r="C1542" s="1393"/>
      <c r="D1542" s="1506"/>
      <c r="E1542" s="1393"/>
      <c r="F1542" s="1393"/>
      <c r="G1542" s="1393"/>
      <c r="H1542" s="1507"/>
      <c r="I1542" s="1508"/>
      <c r="J1542" s="1508"/>
      <c r="K1542" s="1509"/>
      <c r="L1542" s="1509"/>
      <c r="M1542" s="1509"/>
      <c r="N1542" s="1509"/>
      <c r="O1542" s="1509"/>
      <c r="P1542" s="1509"/>
      <c r="Q1542" s="1314"/>
      <c r="R1542" s="1314"/>
      <c r="S1542" s="1314"/>
      <c r="T1542" s="1314"/>
      <c r="U1542" s="1314"/>
      <c r="V1542" s="1314"/>
      <c r="W1542" s="1314"/>
      <c r="X1542" s="1314"/>
      <c r="Y1542" s="1314"/>
      <c r="Z1542" s="1314"/>
    </row>
    <row r="1543" spans="1:26" ht="18.75">
      <c r="A1543" s="1393"/>
      <c r="B1543" s="1393"/>
      <c r="C1543" s="1393"/>
      <c r="D1543" s="1506"/>
      <c r="E1543" s="1393"/>
      <c r="F1543" s="1393"/>
      <c r="G1543" s="1393"/>
      <c r="H1543" s="1507"/>
      <c r="I1543" s="1508"/>
      <c r="J1543" s="1508"/>
      <c r="K1543" s="1509"/>
      <c r="L1543" s="1509"/>
      <c r="M1543" s="1509"/>
      <c r="N1543" s="1509"/>
      <c r="O1543" s="1509"/>
      <c r="P1543" s="1509"/>
      <c r="Q1543" s="1314"/>
      <c r="R1543" s="1314"/>
      <c r="S1543" s="1314"/>
      <c r="T1543" s="1314"/>
      <c r="U1543" s="1314"/>
      <c r="V1543" s="1314"/>
      <c r="W1543" s="1314"/>
      <c r="X1543" s="1314"/>
      <c r="Y1543" s="1314"/>
      <c r="Z1543" s="1314"/>
    </row>
    <row r="1544" spans="1:26" ht="18.75">
      <c r="A1544" s="1393"/>
      <c r="B1544" s="1393"/>
      <c r="C1544" s="1393"/>
      <c r="D1544" s="1506"/>
      <c r="E1544" s="1393"/>
      <c r="F1544" s="1393"/>
      <c r="G1544" s="1393"/>
      <c r="H1544" s="1507"/>
      <c r="I1544" s="1508"/>
      <c r="J1544" s="1508"/>
      <c r="K1544" s="1509"/>
      <c r="L1544" s="1509"/>
      <c r="M1544" s="1509"/>
      <c r="N1544" s="1509"/>
      <c r="O1544" s="1509"/>
      <c r="P1544" s="1509"/>
      <c r="Q1544" s="1314"/>
      <c r="R1544" s="1314"/>
      <c r="S1544" s="1314"/>
      <c r="T1544" s="1314"/>
      <c r="U1544" s="1314"/>
      <c r="V1544" s="1314"/>
      <c r="W1544" s="1314"/>
      <c r="X1544" s="1314"/>
      <c r="Y1544" s="1314"/>
      <c r="Z1544" s="1314"/>
    </row>
    <row r="1545" spans="1:26" ht="18.75">
      <c r="A1545" s="1393"/>
      <c r="B1545" s="1393"/>
      <c r="C1545" s="1393"/>
      <c r="D1545" s="1506"/>
      <c r="E1545" s="1393"/>
      <c r="F1545" s="1393"/>
      <c r="G1545" s="1393"/>
      <c r="H1545" s="1507"/>
      <c r="I1545" s="1508"/>
      <c r="J1545" s="1508"/>
      <c r="K1545" s="1509"/>
      <c r="L1545" s="1509"/>
      <c r="M1545" s="1509"/>
      <c r="N1545" s="1509"/>
      <c r="O1545" s="1509"/>
      <c r="P1545" s="1509"/>
      <c r="Q1545" s="1314"/>
      <c r="R1545" s="1314"/>
      <c r="S1545" s="1314"/>
      <c r="T1545" s="1314"/>
      <c r="U1545" s="1314"/>
      <c r="V1545" s="1314"/>
      <c r="W1545" s="1314"/>
      <c r="X1545" s="1314"/>
      <c r="Y1545" s="1314"/>
      <c r="Z1545" s="1314"/>
    </row>
    <row r="1546" spans="1:26" ht="18.75">
      <c r="A1546" s="1393"/>
      <c r="B1546" s="1393"/>
      <c r="C1546" s="1393"/>
      <c r="D1546" s="1506"/>
      <c r="E1546" s="1393"/>
      <c r="F1546" s="1393"/>
      <c r="G1546" s="1393"/>
      <c r="H1546" s="1507"/>
      <c r="I1546" s="1508"/>
      <c r="J1546" s="1508"/>
      <c r="K1546" s="1509"/>
      <c r="L1546" s="1509"/>
      <c r="M1546" s="1509"/>
      <c r="N1546" s="1509"/>
      <c r="O1546" s="1509"/>
      <c r="P1546" s="1509"/>
      <c r="Q1546" s="1314"/>
      <c r="R1546" s="1314"/>
      <c r="S1546" s="1314"/>
      <c r="T1546" s="1314"/>
      <c r="U1546" s="1314"/>
      <c r="V1546" s="1314"/>
      <c r="W1546" s="1314"/>
      <c r="X1546" s="1314"/>
      <c r="Y1546" s="1314"/>
      <c r="Z1546" s="1314"/>
    </row>
    <row r="1547" spans="1:26" ht="18.75">
      <c r="A1547" s="1393"/>
      <c r="B1547" s="1393"/>
      <c r="C1547" s="1393"/>
      <c r="D1547" s="1506"/>
      <c r="E1547" s="1393"/>
      <c r="F1547" s="1393"/>
      <c r="G1547" s="1393"/>
      <c r="H1547" s="1507"/>
      <c r="I1547" s="1508"/>
      <c r="J1547" s="1508"/>
      <c r="K1547" s="1509"/>
      <c r="L1547" s="1509"/>
      <c r="M1547" s="1509"/>
      <c r="N1547" s="1509"/>
      <c r="O1547" s="1509"/>
      <c r="P1547" s="1509"/>
      <c r="Q1547" s="1314"/>
      <c r="R1547" s="1314"/>
      <c r="S1547" s="1314"/>
      <c r="T1547" s="1314"/>
      <c r="U1547" s="1314"/>
      <c r="V1547" s="1314"/>
      <c r="W1547" s="1314"/>
      <c r="X1547" s="1314"/>
      <c r="Y1547" s="1314"/>
      <c r="Z1547" s="1314"/>
    </row>
    <row r="1548" spans="1:26" ht="18.75">
      <c r="A1548" s="1393"/>
      <c r="B1548" s="1393"/>
      <c r="C1548" s="1393"/>
      <c r="D1548" s="1506"/>
      <c r="E1548" s="1393"/>
      <c r="F1548" s="1393"/>
      <c r="G1548" s="1393"/>
      <c r="H1548" s="1507"/>
      <c r="I1548" s="1508"/>
      <c r="J1548" s="1508"/>
      <c r="K1548" s="1509"/>
      <c r="L1548" s="1509"/>
      <c r="M1548" s="1509"/>
      <c r="N1548" s="1509"/>
      <c r="O1548" s="1509"/>
      <c r="P1548" s="1509"/>
      <c r="Q1548" s="1314"/>
      <c r="R1548" s="1314"/>
      <c r="S1548" s="1314"/>
      <c r="T1548" s="1314"/>
      <c r="U1548" s="1314"/>
      <c r="V1548" s="1314"/>
      <c r="W1548" s="1314"/>
      <c r="X1548" s="1314"/>
      <c r="Y1548" s="1314"/>
      <c r="Z1548" s="1314"/>
    </row>
    <row r="1549" spans="1:26" ht="18.75">
      <c r="A1549" s="1393"/>
      <c r="B1549" s="1393"/>
      <c r="C1549" s="1393"/>
      <c r="D1549" s="1506"/>
      <c r="E1549" s="1393"/>
      <c r="F1549" s="1393"/>
      <c r="G1549" s="1393"/>
      <c r="H1549" s="1507"/>
      <c r="I1549" s="1508"/>
      <c r="J1549" s="1508"/>
      <c r="K1549" s="1509"/>
      <c r="L1549" s="1509"/>
      <c r="M1549" s="1509"/>
      <c r="N1549" s="1509"/>
      <c r="O1549" s="1509"/>
      <c r="P1549" s="1509"/>
      <c r="Q1549" s="1314"/>
      <c r="R1549" s="1314"/>
      <c r="S1549" s="1314"/>
      <c r="T1549" s="1314"/>
      <c r="U1549" s="1314"/>
      <c r="V1549" s="1314"/>
      <c r="W1549" s="1314"/>
      <c r="X1549" s="1314"/>
      <c r="Y1549" s="1314"/>
      <c r="Z1549" s="1314"/>
    </row>
    <row r="1550" spans="1:26" ht="18.75">
      <c r="A1550" s="1393"/>
      <c r="B1550" s="1393"/>
      <c r="C1550" s="1393"/>
      <c r="D1550" s="1506"/>
      <c r="E1550" s="1393"/>
      <c r="F1550" s="1393"/>
      <c r="G1550" s="1393"/>
      <c r="H1550" s="1507"/>
      <c r="I1550" s="1508"/>
      <c r="J1550" s="1508"/>
      <c r="K1550" s="1509"/>
      <c r="L1550" s="1509"/>
      <c r="M1550" s="1509"/>
      <c r="N1550" s="1509"/>
      <c r="O1550" s="1509"/>
      <c r="P1550" s="1509"/>
      <c r="Q1550" s="1314"/>
      <c r="R1550" s="1314"/>
      <c r="S1550" s="1314"/>
      <c r="T1550" s="1314"/>
      <c r="U1550" s="1314"/>
      <c r="V1550" s="1314"/>
      <c r="W1550" s="1314"/>
      <c r="X1550" s="1314"/>
      <c r="Y1550" s="1314"/>
      <c r="Z1550" s="1314"/>
    </row>
    <row r="1551" spans="1:26" ht="18.75">
      <c r="A1551" s="1393"/>
      <c r="B1551" s="1393"/>
      <c r="C1551" s="1393"/>
      <c r="D1551" s="1506"/>
      <c r="E1551" s="1393"/>
      <c r="F1551" s="1393"/>
      <c r="G1551" s="1393"/>
      <c r="H1551" s="1507"/>
      <c r="I1551" s="1508"/>
      <c r="J1551" s="1508"/>
      <c r="K1551" s="1509"/>
      <c r="L1551" s="1509"/>
      <c r="M1551" s="1509"/>
      <c r="N1551" s="1509"/>
      <c r="O1551" s="1509"/>
      <c r="P1551" s="1509"/>
      <c r="Q1551" s="1314"/>
      <c r="R1551" s="1314"/>
      <c r="S1551" s="1314"/>
      <c r="T1551" s="1314"/>
      <c r="U1551" s="1314"/>
      <c r="V1551" s="1314"/>
      <c r="W1551" s="1314"/>
      <c r="X1551" s="1314"/>
      <c r="Y1551" s="1314"/>
      <c r="Z1551" s="1314"/>
    </row>
    <row r="1552" spans="1:26" ht="18.75">
      <c r="A1552" s="1393"/>
      <c r="B1552" s="1393"/>
      <c r="C1552" s="1393"/>
      <c r="D1552" s="1506"/>
      <c r="E1552" s="1393"/>
      <c r="F1552" s="1393"/>
      <c r="G1552" s="1393"/>
      <c r="H1552" s="1507"/>
      <c r="I1552" s="1508"/>
      <c r="J1552" s="1508"/>
      <c r="K1552" s="1509"/>
      <c r="L1552" s="1509"/>
      <c r="M1552" s="1509"/>
      <c r="N1552" s="1509"/>
      <c r="O1552" s="1509"/>
      <c r="P1552" s="1509"/>
      <c r="Q1552" s="1314"/>
      <c r="R1552" s="1314"/>
      <c r="S1552" s="1314"/>
      <c r="T1552" s="1314"/>
      <c r="U1552" s="1314"/>
      <c r="V1552" s="1314"/>
      <c r="W1552" s="1314"/>
      <c r="X1552" s="1314"/>
      <c r="Y1552" s="1314"/>
      <c r="Z1552" s="1314"/>
    </row>
    <row r="1553" spans="1:26" ht="18.75">
      <c r="A1553" s="1393"/>
      <c r="B1553" s="1393"/>
      <c r="C1553" s="1393"/>
      <c r="D1553" s="1506"/>
      <c r="E1553" s="1393"/>
      <c r="F1553" s="1393"/>
      <c r="G1553" s="1393"/>
      <c r="H1553" s="1507"/>
      <c r="I1553" s="1508"/>
      <c r="J1553" s="1508"/>
      <c r="K1553" s="1509"/>
      <c r="L1553" s="1509"/>
      <c r="M1553" s="1509"/>
      <c r="N1553" s="1509"/>
      <c r="O1553" s="1509"/>
      <c r="P1553" s="1509"/>
      <c r="Q1553" s="1314"/>
      <c r="R1553" s="1314"/>
      <c r="S1553" s="1314"/>
      <c r="T1553" s="1314"/>
      <c r="U1553" s="1314"/>
      <c r="V1553" s="1314"/>
      <c r="W1553" s="1314"/>
      <c r="X1553" s="1314"/>
      <c r="Y1553" s="1314"/>
      <c r="Z1553" s="1314"/>
    </row>
    <row r="1554" spans="1:26" ht="18.75">
      <c r="A1554" s="1393"/>
      <c r="B1554" s="1393"/>
      <c r="C1554" s="1393"/>
      <c r="D1554" s="1506"/>
      <c r="E1554" s="1393"/>
      <c r="F1554" s="1393"/>
      <c r="G1554" s="1393"/>
      <c r="H1554" s="1507"/>
      <c r="I1554" s="1508"/>
      <c r="J1554" s="1508"/>
      <c r="K1554" s="1509"/>
      <c r="L1554" s="1509"/>
      <c r="M1554" s="1509"/>
      <c r="N1554" s="1509"/>
      <c r="O1554" s="1509"/>
      <c r="P1554" s="1509"/>
      <c r="Q1554" s="1314"/>
      <c r="R1554" s="1314"/>
      <c r="S1554" s="1314"/>
      <c r="T1554" s="1314"/>
      <c r="U1554" s="1314"/>
      <c r="V1554" s="1314"/>
      <c r="W1554" s="1314"/>
      <c r="X1554" s="1314"/>
      <c r="Y1554" s="1314"/>
      <c r="Z1554" s="1314"/>
    </row>
    <row r="1555" spans="1:26" ht="18.75">
      <c r="A1555" s="1393"/>
      <c r="B1555" s="1393"/>
      <c r="C1555" s="1393"/>
      <c r="D1555" s="1506"/>
      <c r="E1555" s="1393"/>
      <c r="F1555" s="1393"/>
      <c r="G1555" s="1393"/>
      <c r="H1555" s="1507"/>
      <c r="I1555" s="1508"/>
      <c r="J1555" s="1508"/>
      <c r="K1555" s="1509"/>
      <c r="L1555" s="1509"/>
      <c r="M1555" s="1509"/>
      <c r="N1555" s="1509"/>
      <c r="O1555" s="1509"/>
      <c r="P1555" s="1509"/>
      <c r="Q1555" s="1314"/>
      <c r="R1555" s="1314"/>
      <c r="S1555" s="1314"/>
      <c r="T1555" s="1314"/>
      <c r="U1555" s="1314"/>
      <c r="V1555" s="1314"/>
      <c r="W1555" s="1314"/>
      <c r="X1555" s="1314"/>
      <c r="Y1555" s="1314"/>
      <c r="Z1555" s="1314"/>
    </row>
    <row r="1556" spans="1:26" ht="18.75">
      <c r="A1556" s="1393"/>
      <c r="B1556" s="1393"/>
      <c r="C1556" s="1393"/>
      <c r="D1556" s="1506"/>
      <c r="E1556" s="1393"/>
      <c r="F1556" s="1393"/>
      <c r="G1556" s="1393"/>
      <c r="H1556" s="1507"/>
      <c r="I1556" s="1508"/>
      <c r="J1556" s="1508"/>
      <c r="K1556" s="1509"/>
      <c r="L1556" s="1509"/>
      <c r="M1556" s="1509"/>
      <c r="N1556" s="1509"/>
      <c r="O1556" s="1509"/>
      <c r="P1556" s="1509"/>
      <c r="Q1556" s="1314"/>
      <c r="R1556" s="1314"/>
      <c r="S1556" s="1314"/>
      <c r="T1556" s="1314"/>
      <c r="U1556" s="1314"/>
      <c r="V1556" s="1314"/>
      <c r="W1556" s="1314"/>
      <c r="X1556" s="1314"/>
      <c r="Y1556" s="1314"/>
      <c r="Z1556" s="1314"/>
    </row>
    <row r="1557" spans="1:26" ht="18.75">
      <c r="A1557" s="1393"/>
      <c r="B1557" s="1393"/>
      <c r="C1557" s="1393"/>
      <c r="D1557" s="1506"/>
      <c r="E1557" s="1393"/>
      <c r="F1557" s="1393"/>
      <c r="G1557" s="1393"/>
      <c r="H1557" s="1507"/>
      <c r="I1557" s="1508"/>
      <c r="J1557" s="1508"/>
      <c r="K1557" s="1509"/>
      <c r="L1557" s="1509"/>
      <c r="M1557" s="1509"/>
      <c r="N1557" s="1509"/>
      <c r="O1557" s="1509"/>
      <c r="P1557" s="1509"/>
      <c r="Q1557" s="1314"/>
      <c r="R1557" s="1314"/>
      <c r="S1557" s="1314"/>
      <c r="T1557" s="1314"/>
      <c r="U1557" s="1314"/>
      <c r="V1557" s="1314"/>
      <c r="W1557" s="1314"/>
      <c r="X1557" s="1314"/>
      <c r="Y1557" s="1314"/>
      <c r="Z1557" s="1314"/>
    </row>
    <row r="1558" spans="1:26" ht="18.75">
      <c r="A1558" s="1393"/>
      <c r="B1558" s="1393"/>
      <c r="C1558" s="1393"/>
      <c r="D1558" s="1506"/>
      <c r="E1558" s="1393"/>
      <c r="F1558" s="1393"/>
      <c r="G1558" s="1393"/>
      <c r="H1558" s="1507"/>
      <c r="I1558" s="1508"/>
      <c r="J1558" s="1508"/>
      <c r="K1558" s="1509"/>
      <c r="L1558" s="1509"/>
      <c r="M1558" s="1509"/>
      <c r="N1558" s="1509"/>
      <c r="O1558" s="1509"/>
      <c r="P1558" s="1509"/>
      <c r="Q1558" s="1314"/>
      <c r="R1558" s="1314"/>
      <c r="S1558" s="1314"/>
      <c r="T1558" s="1314"/>
      <c r="U1558" s="1314"/>
      <c r="V1558" s="1314"/>
      <c r="W1558" s="1314"/>
      <c r="X1558" s="1314"/>
      <c r="Y1558" s="1314"/>
      <c r="Z1558" s="1314"/>
    </row>
    <row r="1559" spans="1:26" ht="18.75">
      <c r="A1559" s="1393"/>
      <c r="B1559" s="1393"/>
      <c r="C1559" s="1393"/>
      <c r="D1559" s="1506"/>
      <c r="E1559" s="1393"/>
      <c r="F1559" s="1393"/>
      <c r="G1559" s="1393"/>
      <c r="H1559" s="1507"/>
      <c r="I1559" s="1508"/>
      <c r="J1559" s="1508"/>
      <c r="K1559" s="1509"/>
      <c r="L1559" s="1509"/>
      <c r="M1559" s="1509"/>
      <c r="N1559" s="1509"/>
      <c r="O1559" s="1509"/>
      <c r="P1559" s="1509"/>
      <c r="Q1559" s="1314"/>
      <c r="R1559" s="1314"/>
      <c r="S1559" s="1314"/>
      <c r="T1559" s="1314"/>
      <c r="U1559" s="1314"/>
      <c r="V1559" s="1314"/>
      <c r="W1559" s="1314"/>
      <c r="X1559" s="1314"/>
      <c r="Y1559" s="1314"/>
      <c r="Z1559" s="1314"/>
    </row>
    <row r="1560" spans="1:26" ht="18.75">
      <c r="A1560" s="1393"/>
      <c r="B1560" s="1393"/>
      <c r="C1560" s="1393"/>
      <c r="D1560" s="1506"/>
      <c r="E1560" s="1393"/>
      <c r="F1560" s="1393"/>
      <c r="G1560" s="1393"/>
      <c r="H1560" s="1507"/>
      <c r="I1560" s="1508"/>
      <c r="J1560" s="1508"/>
      <c r="K1560" s="1509"/>
      <c r="L1560" s="1509"/>
      <c r="M1560" s="1509"/>
      <c r="N1560" s="1509"/>
      <c r="O1560" s="1509"/>
      <c r="P1560" s="1509"/>
      <c r="Q1560" s="1314"/>
      <c r="R1560" s="1314"/>
      <c r="S1560" s="1314"/>
      <c r="T1560" s="1314"/>
      <c r="U1560" s="1314"/>
      <c r="V1560" s="1314"/>
      <c r="W1560" s="1314"/>
      <c r="X1560" s="1314"/>
      <c r="Y1560" s="1314"/>
      <c r="Z1560" s="1314"/>
    </row>
    <row r="1561" spans="1:26" ht="18.75">
      <c r="A1561" s="1393"/>
      <c r="B1561" s="1393"/>
      <c r="C1561" s="1393"/>
      <c r="D1561" s="1506"/>
      <c r="E1561" s="1393"/>
      <c r="F1561" s="1393"/>
      <c r="G1561" s="1393"/>
      <c r="H1561" s="1507"/>
      <c r="I1561" s="1508"/>
      <c r="J1561" s="1508"/>
      <c r="K1561" s="1509"/>
      <c r="L1561" s="1509"/>
      <c r="M1561" s="1509"/>
      <c r="N1561" s="1509"/>
      <c r="O1561" s="1509"/>
      <c r="P1561" s="1509"/>
      <c r="Q1561" s="1314"/>
      <c r="R1561" s="1314"/>
      <c r="S1561" s="1314"/>
      <c r="T1561" s="1314"/>
      <c r="U1561" s="1314"/>
      <c r="V1561" s="1314"/>
      <c r="W1561" s="1314"/>
      <c r="X1561" s="1314"/>
      <c r="Y1561" s="1314"/>
      <c r="Z1561" s="1314"/>
    </row>
    <row r="1562" spans="1:26" ht="18.75">
      <c r="A1562" s="1393"/>
      <c r="B1562" s="1393"/>
      <c r="C1562" s="1393"/>
      <c r="D1562" s="1506"/>
      <c r="E1562" s="1393"/>
      <c r="F1562" s="1393"/>
      <c r="G1562" s="1393"/>
      <c r="H1562" s="1507"/>
      <c r="I1562" s="1508"/>
      <c r="J1562" s="1508"/>
      <c r="K1562" s="1509"/>
      <c r="L1562" s="1509"/>
      <c r="M1562" s="1509"/>
      <c r="N1562" s="1509"/>
      <c r="O1562" s="1509"/>
      <c r="P1562" s="1509"/>
      <c r="Q1562" s="1314"/>
      <c r="R1562" s="1314"/>
      <c r="S1562" s="1314"/>
      <c r="T1562" s="1314"/>
      <c r="U1562" s="1314"/>
      <c r="V1562" s="1314"/>
      <c r="W1562" s="1314"/>
      <c r="X1562" s="1314"/>
      <c r="Y1562" s="1314"/>
      <c r="Z1562" s="1314"/>
    </row>
    <row r="1563" spans="1:26" ht="18.75">
      <c r="A1563" s="1393"/>
      <c r="B1563" s="1393"/>
      <c r="C1563" s="1393"/>
      <c r="D1563" s="1506"/>
      <c r="E1563" s="1393"/>
      <c r="F1563" s="1393"/>
      <c r="G1563" s="1393"/>
      <c r="H1563" s="1507"/>
      <c r="I1563" s="1508"/>
      <c r="J1563" s="1508"/>
      <c r="K1563" s="1509"/>
      <c r="L1563" s="1509"/>
      <c r="M1563" s="1509"/>
      <c r="N1563" s="1509"/>
      <c r="O1563" s="1509"/>
      <c r="P1563" s="1509"/>
      <c r="Q1563" s="1314"/>
      <c r="R1563" s="1314"/>
      <c r="S1563" s="1314"/>
      <c r="T1563" s="1314"/>
      <c r="U1563" s="1314"/>
      <c r="V1563" s="1314"/>
      <c r="W1563" s="1314"/>
      <c r="X1563" s="1314"/>
      <c r="Y1563" s="1314"/>
      <c r="Z1563" s="1314"/>
    </row>
    <row r="1564" spans="1:26" ht="18.75">
      <c r="A1564" s="1393"/>
      <c r="B1564" s="1393"/>
      <c r="C1564" s="1393"/>
      <c r="D1564" s="1506"/>
      <c r="E1564" s="1393"/>
      <c r="F1564" s="1393"/>
      <c r="G1564" s="1393"/>
      <c r="H1564" s="1507"/>
      <c r="I1564" s="1508"/>
      <c r="J1564" s="1508"/>
      <c r="K1564" s="1509"/>
      <c r="L1564" s="1509"/>
      <c r="M1564" s="1509"/>
      <c r="N1564" s="1509"/>
      <c r="O1564" s="1509"/>
      <c r="P1564" s="1509"/>
      <c r="Q1564" s="1314"/>
      <c r="R1564" s="1314"/>
      <c r="S1564" s="1314"/>
      <c r="T1564" s="1314"/>
      <c r="U1564" s="1314"/>
      <c r="V1564" s="1314"/>
      <c r="W1564" s="1314"/>
      <c r="X1564" s="1314"/>
      <c r="Y1564" s="1314"/>
      <c r="Z1564" s="1314"/>
    </row>
    <row r="1565" spans="1:26" ht="18.75">
      <c r="A1565" s="1393"/>
      <c r="B1565" s="1393"/>
      <c r="C1565" s="1393"/>
      <c r="D1565" s="1506"/>
      <c r="E1565" s="1393"/>
      <c r="F1565" s="1393"/>
      <c r="G1565" s="1393"/>
      <c r="H1565" s="1507"/>
      <c r="I1565" s="1508"/>
      <c r="J1565" s="1508"/>
      <c r="K1565" s="1509"/>
      <c r="L1565" s="1509"/>
      <c r="M1565" s="1509"/>
      <c r="N1565" s="1509"/>
      <c r="O1565" s="1509"/>
      <c r="P1565" s="1509"/>
      <c r="Q1565" s="1314"/>
      <c r="R1565" s="1314"/>
      <c r="S1565" s="1314"/>
      <c r="T1565" s="1314"/>
      <c r="U1565" s="1314"/>
      <c r="V1565" s="1314"/>
      <c r="W1565" s="1314"/>
      <c r="X1565" s="1314"/>
      <c r="Y1565" s="1314"/>
      <c r="Z1565" s="1314"/>
    </row>
    <row r="1566" spans="1:26" ht="18.75">
      <c r="A1566" s="1393"/>
      <c r="B1566" s="1393"/>
      <c r="C1566" s="1393"/>
      <c r="D1566" s="1506"/>
      <c r="E1566" s="1393"/>
      <c r="F1566" s="1393"/>
      <c r="G1566" s="1393"/>
      <c r="H1566" s="1507"/>
      <c r="I1566" s="1508"/>
      <c r="J1566" s="1508"/>
      <c r="K1566" s="1509"/>
      <c r="L1566" s="1509"/>
      <c r="M1566" s="1509"/>
      <c r="N1566" s="1509"/>
      <c r="O1566" s="1509"/>
      <c r="P1566" s="1509"/>
      <c r="Q1566" s="1314"/>
      <c r="R1566" s="1314"/>
      <c r="S1566" s="1314"/>
      <c r="T1566" s="1314"/>
      <c r="U1566" s="1314"/>
      <c r="V1566" s="1314"/>
      <c r="W1566" s="1314"/>
      <c r="X1566" s="1314"/>
      <c r="Y1566" s="1314"/>
      <c r="Z1566" s="1314"/>
    </row>
    <row r="1567" spans="1:26" ht="18.75">
      <c r="A1567" s="1393"/>
      <c r="B1567" s="1393"/>
      <c r="C1567" s="1393"/>
      <c r="D1567" s="1506"/>
      <c r="E1567" s="1393"/>
      <c r="F1567" s="1393"/>
      <c r="G1567" s="1393"/>
      <c r="H1567" s="1507"/>
      <c r="I1567" s="1508"/>
      <c r="J1567" s="1508"/>
      <c r="K1567" s="1509"/>
      <c r="L1567" s="1509"/>
      <c r="M1567" s="1509"/>
      <c r="N1567" s="1509"/>
      <c r="O1567" s="1509"/>
      <c r="P1567" s="1509"/>
      <c r="Q1567" s="1314"/>
      <c r="R1567" s="1314"/>
      <c r="S1567" s="1314"/>
      <c r="T1567" s="1314"/>
      <c r="U1567" s="1314"/>
      <c r="V1567" s="1314"/>
      <c r="W1567" s="1314"/>
      <c r="X1567" s="1314"/>
      <c r="Y1567" s="1314"/>
      <c r="Z1567" s="1314"/>
    </row>
    <row r="1568" spans="1:26" ht="18.75">
      <c r="A1568" s="1393"/>
      <c r="B1568" s="1393"/>
      <c r="C1568" s="1393"/>
      <c r="D1568" s="1506"/>
      <c r="E1568" s="1393"/>
      <c r="F1568" s="1393"/>
      <c r="G1568" s="1393"/>
      <c r="H1568" s="1507"/>
      <c r="I1568" s="1508"/>
      <c r="J1568" s="1508"/>
      <c r="K1568" s="1509"/>
      <c r="L1568" s="1509"/>
      <c r="M1568" s="1509"/>
      <c r="N1568" s="1509"/>
      <c r="O1568" s="1509"/>
      <c r="P1568" s="1509"/>
      <c r="Q1568" s="1314"/>
      <c r="R1568" s="1314"/>
      <c r="S1568" s="1314"/>
      <c r="T1568" s="1314"/>
      <c r="U1568" s="1314"/>
      <c r="V1568" s="1314"/>
      <c r="W1568" s="1314"/>
      <c r="X1568" s="1314"/>
      <c r="Y1568" s="1314"/>
      <c r="Z1568" s="1314"/>
    </row>
    <row r="1569" spans="1:26" ht="18.75">
      <c r="A1569" s="1393"/>
      <c r="B1569" s="1393"/>
      <c r="C1569" s="1393"/>
      <c r="D1569" s="1506"/>
      <c r="E1569" s="1393"/>
      <c r="F1569" s="1393"/>
      <c r="G1569" s="1393"/>
      <c r="H1569" s="1507"/>
      <c r="I1569" s="1508"/>
      <c r="J1569" s="1508"/>
      <c r="K1569" s="1509"/>
      <c r="L1569" s="1509"/>
      <c r="M1569" s="1509"/>
      <c r="N1569" s="1509"/>
      <c r="O1569" s="1509"/>
      <c r="P1569" s="1509"/>
      <c r="Q1569" s="1314"/>
      <c r="R1569" s="1314"/>
      <c r="S1569" s="1314"/>
      <c r="T1569" s="1314"/>
      <c r="U1569" s="1314"/>
      <c r="V1569" s="1314"/>
      <c r="W1569" s="1314"/>
      <c r="X1569" s="1314"/>
      <c r="Y1569" s="1314"/>
      <c r="Z1569" s="1314"/>
    </row>
    <row r="1570" spans="1:26" ht="18.75">
      <c r="A1570" s="1393"/>
      <c r="B1570" s="1393"/>
      <c r="C1570" s="1393"/>
      <c r="D1570" s="1506"/>
      <c r="E1570" s="1393"/>
      <c r="F1570" s="1393"/>
      <c r="G1570" s="1393"/>
      <c r="H1570" s="1507"/>
      <c r="I1570" s="1508"/>
      <c r="J1570" s="1508"/>
      <c r="K1570" s="1509"/>
      <c r="L1570" s="1509"/>
      <c r="M1570" s="1509"/>
      <c r="N1570" s="1509"/>
      <c r="O1570" s="1509"/>
      <c r="P1570" s="1509"/>
      <c r="Q1570" s="1314"/>
      <c r="R1570" s="1314"/>
      <c r="S1570" s="1314"/>
      <c r="T1570" s="1314"/>
      <c r="U1570" s="1314"/>
      <c r="V1570" s="1314"/>
      <c r="W1570" s="1314"/>
      <c r="X1570" s="1314"/>
      <c r="Y1570" s="1314"/>
      <c r="Z1570" s="1314"/>
    </row>
    <row r="1571" spans="1:26" ht="18.75">
      <c r="A1571" s="1393"/>
      <c r="B1571" s="1393"/>
      <c r="C1571" s="1393"/>
      <c r="D1571" s="1506"/>
      <c r="E1571" s="1393"/>
      <c r="F1571" s="1393"/>
      <c r="G1571" s="1393"/>
      <c r="H1571" s="1507"/>
      <c r="I1571" s="1508"/>
      <c r="J1571" s="1508"/>
      <c r="K1571" s="1509"/>
      <c r="L1571" s="1509"/>
      <c r="M1571" s="1509"/>
      <c r="N1571" s="1509"/>
      <c r="O1571" s="1509"/>
      <c r="P1571" s="1509"/>
      <c r="Q1571" s="1314"/>
      <c r="R1571" s="1314"/>
      <c r="S1571" s="1314"/>
      <c r="T1571" s="1314"/>
      <c r="U1571" s="1314"/>
      <c r="V1571" s="1314"/>
      <c r="W1571" s="1314"/>
      <c r="X1571" s="1314"/>
      <c r="Y1571" s="1314"/>
      <c r="Z1571" s="1314"/>
    </row>
    <row r="1572" spans="1:26" ht="18.75">
      <c r="A1572" s="1393"/>
      <c r="B1572" s="1393"/>
      <c r="C1572" s="1393"/>
      <c r="D1572" s="1506"/>
      <c r="E1572" s="1393"/>
      <c r="F1572" s="1393"/>
      <c r="G1572" s="1393"/>
      <c r="H1572" s="1507"/>
      <c r="I1572" s="1508"/>
      <c r="J1572" s="1508"/>
      <c r="K1572" s="1509"/>
      <c r="L1572" s="1509"/>
      <c r="M1572" s="1509"/>
      <c r="N1572" s="1509"/>
      <c r="O1572" s="1509"/>
      <c r="P1572" s="1509"/>
      <c r="Q1572" s="1314"/>
      <c r="R1572" s="1314"/>
      <c r="S1572" s="1314"/>
      <c r="T1572" s="1314"/>
      <c r="U1572" s="1314"/>
      <c r="V1572" s="1314"/>
      <c r="W1572" s="1314"/>
      <c r="X1572" s="1314"/>
      <c r="Y1572" s="1314"/>
      <c r="Z1572" s="1314"/>
    </row>
    <row r="1573" spans="1:26" ht="18.75">
      <c r="A1573" s="1393"/>
      <c r="B1573" s="1393"/>
      <c r="C1573" s="1393"/>
      <c r="D1573" s="1506"/>
      <c r="E1573" s="1393"/>
      <c r="F1573" s="1393"/>
      <c r="G1573" s="1393"/>
      <c r="H1573" s="1507"/>
      <c r="I1573" s="1508"/>
      <c r="J1573" s="1508"/>
      <c r="K1573" s="1509"/>
      <c r="L1573" s="1509"/>
      <c r="M1573" s="1509"/>
      <c r="N1573" s="1509"/>
      <c r="O1573" s="1509"/>
      <c r="P1573" s="1509"/>
      <c r="Q1573" s="1314"/>
      <c r="R1573" s="1314"/>
      <c r="S1573" s="1314"/>
      <c r="T1573" s="1314"/>
      <c r="U1573" s="1314"/>
      <c r="V1573" s="1314"/>
      <c r="W1573" s="1314"/>
      <c r="X1573" s="1314"/>
      <c r="Y1573" s="1314"/>
      <c r="Z1573" s="1314"/>
    </row>
    <row r="1574" spans="1:26" ht="18.75">
      <c r="A1574" s="1393"/>
      <c r="B1574" s="1393"/>
      <c r="C1574" s="1393"/>
      <c r="D1574" s="1506"/>
      <c r="E1574" s="1393"/>
      <c r="F1574" s="1393"/>
      <c r="G1574" s="1393"/>
      <c r="H1574" s="1507"/>
      <c r="I1574" s="1508"/>
      <c r="J1574" s="1508"/>
      <c r="K1574" s="1509"/>
      <c r="L1574" s="1509"/>
      <c r="M1574" s="1509"/>
      <c r="N1574" s="1509"/>
      <c r="O1574" s="1509"/>
      <c r="P1574" s="1509"/>
      <c r="Q1574" s="1314"/>
      <c r="R1574" s="1314"/>
      <c r="S1574" s="1314"/>
      <c r="T1574" s="1314"/>
      <c r="U1574" s="1314"/>
      <c r="V1574" s="1314"/>
      <c r="W1574" s="1314"/>
      <c r="X1574" s="1314"/>
      <c r="Y1574" s="1314"/>
      <c r="Z1574" s="1314"/>
    </row>
    <row r="1575" spans="1:26" ht="18.75">
      <c r="A1575" s="1393"/>
      <c r="B1575" s="1393"/>
      <c r="C1575" s="1393"/>
      <c r="D1575" s="1506"/>
      <c r="E1575" s="1393"/>
      <c r="F1575" s="1393"/>
      <c r="G1575" s="1393"/>
      <c r="H1575" s="1507"/>
      <c r="I1575" s="1508"/>
      <c r="J1575" s="1508"/>
      <c r="K1575" s="1509"/>
      <c r="L1575" s="1509"/>
      <c r="M1575" s="1509"/>
      <c r="N1575" s="1509"/>
      <c r="O1575" s="1509"/>
      <c r="P1575" s="1509"/>
      <c r="Q1575" s="1314"/>
      <c r="R1575" s="1314"/>
      <c r="S1575" s="1314"/>
      <c r="T1575" s="1314"/>
      <c r="U1575" s="1314"/>
      <c r="V1575" s="1314"/>
      <c r="W1575" s="1314"/>
      <c r="X1575" s="1314"/>
      <c r="Y1575" s="1314"/>
      <c r="Z1575" s="1314"/>
    </row>
    <row r="1576" spans="1:26" ht="18.75">
      <c r="A1576" s="1393"/>
      <c r="B1576" s="1393"/>
      <c r="C1576" s="1393"/>
      <c r="D1576" s="1506"/>
      <c r="E1576" s="1393"/>
      <c r="F1576" s="1393"/>
      <c r="G1576" s="1393"/>
      <c r="H1576" s="1507"/>
      <c r="I1576" s="1508"/>
      <c r="J1576" s="1508"/>
      <c r="K1576" s="1509"/>
      <c r="L1576" s="1509"/>
      <c r="M1576" s="1509"/>
      <c r="N1576" s="1509"/>
      <c r="O1576" s="1509"/>
      <c r="P1576" s="1509"/>
      <c r="Q1576" s="1314"/>
      <c r="R1576" s="1314"/>
      <c r="S1576" s="1314"/>
      <c r="T1576" s="1314"/>
      <c r="U1576" s="1314"/>
      <c r="V1576" s="1314"/>
      <c r="W1576" s="1314"/>
      <c r="X1576" s="1314"/>
      <c r="Y1576" s="1314"/>
      <c r="Z1576" s="1314"/>
    </row>
    <row r="1577" spans="1:26" ht="18.75">
      <c r="A1577" s="1393"/>
      <c r="B1577" s="1393"/>
      <c r="C1577" s="1393"/>
      <c r="D1577" s="1506"/>
      <c r="E1577" s="1393"/>
      <c r="F1577" s="1393"/>
      <c r="G1577" s="1393"/>
      <c r="H1577" s="1507"/>
      <c r="I1577" s="1508"/>
      <c r="J1577" s="1508"/>
      <c r="K1577" s="1509"/>
      <c r="L1577" s="1509"/>
      <c r="M1577" s="1509"/>
      <c r="N1577" s="1509"/>
      <c r="O1577" s="1509"/>
      <c r="P1577" s="1509"/>
      <c r="Q1577" s="1314"/>
      <c r="R1577" s="1314"/>
      <c r="S1577" s="1314"/>
      <c r="T1577" s="1314"/>
      <c r="U1577" s="1314"/>
      <c r="V1577" s="1314"/>
      <c r="W1577" s="1314"/>
      <c r="X1577" s="1314"/>
      <c r="Y1577" s="1314"/>
      <c r="Z1577" s="1314"/>
    </row>
    <row r="1578" spans="1:26" ht="18.75">
      <c r="A1578" s="1393"/>
      <c r="B1578" s="1393"/>
      <c r="C1578" s="1393"/>
      <c r="D1578" s="1506"/>
      <c r="E1578" s="1393"/>
      <c r="F1578" s="1393"/>
      <c r="G1578" s="1393"/>
      <c r="H1578" s="1507"/>
      <c r="I1578" s="1508"/>
      <c r="J1578" s="1508"/>
      <c r="K1578" s="1509"/>
      <c r="L1578" s="1509"/>
      <c r="M1578" s="1509"/>
      <c r="N1578" s="1509"/>
      <c r="O1578" s="1509"/>
      <c r="P1578" s="1509"/>
      <c r="Q1578" s="1314"/>
      <c r="R1578" s="1314"/>
      <c r="S1578" s="1314"/>
      <c r="T1578" s="1314"/>
      <c r="U1578" s="1314"/>
      <c r="V1578" s="1314"/>
      <c r="W1578" s="1314"/>
      <c r="X1578" s="1314"/>
      <c r="Y1578" s="1314"/>
      <c r="Z1578" s="1314"/>
    </row>
    <row r="1579" spans="1:26" ht="18.75">
      <c r="A1579" s="1393"/>
      <c r="B1579" s="1393"/>
      <c r="C1579" s="1393"/>
      <c r="D1579" s="1506"/>
      <c r="E1579" s="1393"/>
      <c r="F1579" s="1393"/>
      <c r="G1579" s="1393"/>
      <c r="H1579" s="1507"/>
      <c r="I1579" s="1508"/>
      <c r="J1579" s="1508"/>
      <c r="K1579" s="1509"/>
      <c r="L1579" s="1509"/>
      <c r="M1579" s="1509"/>
      <c r="N1579" s="1509"/>
      <c r="O1579" s="1509"/>
      <c r="P1579" s="1509"/>
      <c r="Q1579" s="1314"/>
      <c r="R1579" s="1314"/>
      <c r="S1579" s="1314"/>
      <c r="T1579" s="1314"/>
      <c r="U1579" s="1314"/>
      <c r="V1579" s="1314"/>
      <c r="W1579" s="1314"/>
      <c r="X1579" s="1314"/>
      <c r="Y1579" s="1314"/>
      <c r="Z1579" s="1314"/>
    </row>
    <row r="1580" spans="1:26" ht="18.75">
      <c r="A1580" s="1393"/>
      <c r="B1580" s="1393"/>
      <c r="C1580" s="1393"/>
      <c r="D1580" s="1506"/>
      <c r="E1580" s="1393"/>
      <c r="F1580" s="1393"/>
      <c r="G1580" s="1393"/>
      <c r="H1580" s="1507"/>
      <c r="I1580" s="1508"/>
      <c r="J1580" s="1508"/>
      <c r="K1580" s="1509"/>
      <c r="L1580" s="1509"/>
      <c r="M1580" s="1509"/>
      <c r="N1580" s="1509"/>
      <c r="O1580" s="1509"/>
      <c r="P1580" s="1509"/>
      <c r="Q1580" s="1314"/>
      <c r="R1580" s="1314"/>
      <c r="S1580" s="1314"/>
      <c r="T1580" s="1314"/>
      <c r="U1580" s="1314"/>
      <c r="V1580" s="1314"/>
      <c r="W1580" s="1314"/>
      <c r="X1580" s="1314"/>
      <c r="Y1580" s="1314"/>
      <c r="Z1580" s="1314"/>
    </row>
    <row r="1581" spans="1:26" ht="18.75">
      <c r="A1581" s="1393"/>
      <c r="B1581" s="1393"/>
      <c r="C1581" s="1393"/>
      <c r="D1581" s="1506"/>
      <c r="E1581" s="1393"/>
      <c r="F1581" s="1393"/>
      <c r="G1581" s="1393"/>
      <c r="H1581" s="1507"/>
      <c r="I1581" s="1508"/>
      <c r="J1581" s="1508"/>
      <c r="K1581" s="1509"/>
      <c r="L1581" s="1509"/>
      <c r="M1581" s="1509"/>
      <c r="N1581" s="1509"/>
      <c r="O1581" s="1509"/>
      <c r="P1581" s="1509"/>
      <c r="Q1581" s="1314"/>
      <c r="R1581" s="1314"/>
      <c r="S1581" s="1314"/>
      <c r="T1581" s="1314"/>
      <c r="U1581" s="1314"/>
      <c r="V1581" s="1314"/>
      <c r="W1581" s="1314"/>
      <c r="X1581" s="1314"/>
      <c r="Y1581" s="1314"/>
      <c r="Z1581" s="1314"/>
    </row>
    <row r="1582" spans="1:26" ht="18.75">
      <c r="A1582" s="1393"/>
      <c r="B1582" s="1393"/>
      <c r="C1582" s="1393"/>
      <c r="D1582" s="1506"/>
      <c r="E1582" s="1393"/>
      <c r="F1582" s="1393"/>
      <c r="G1582" s="1393"/>
      <c r="H1582" s="1507"/>
      <c r="I1582" s="1508"/>
      <c r="J1582" s="1508"/>
      <c r="K1582" s="1509"/>
      <c r="L1582" s="1509"/>
      <c r="M1582" s="1509"/>
      <c r="N1582" s="1509"/>
      <c r="O1582" s="1509"/>
      <c r="P1582" s="1509"/>
      <c r="Q1582" s="1314"/>
      <c r="R1582" s="1314"/>
      <c r="S1582" s="1314"/>
      <c r="T1582" s="1314"/>
      <c r="U1582" s="1314"/>
      <c r="V1582" s="1314"/>
      <c r="W1582" s="1314"/>
      <c r="X1582" s="1314"/>
      <c r="Y1582" s="1314"/>
      <c r="Z1582" s="1314"/>
    </row>
    <row r="1583" spans="1:26" ht="18.75">
      <c r="A1583" s="1393"/>
      <c r="B1583" s="1393"/>
      <c r="C1583" s="1393"/>
      <c r="D1583" s="1506"/>
      <c r="E1583" s="1393"/>
      <c r="F1583" s="1393"/>
      <c r="G1583" s="1393"/>
      <c r="H1583" s="1507"/>
      <c r="I1583" s="1508"/>
      <c r="J1583" s="1508"/>
      <c r="K1583" s="1509"/>
      <c r="L1583" s="1509"/>
      <c r="M1583" s="1509"/>
      <c r="N1583" s="1509"/>
      <c r="O1583" s="1509"/>
      <c r="P1583" s="1509"/>
      <c r="Q1583" s="1314"/>
      <c r="R1583" s="1314"/>
      <c r="S1583" s="1314"/>
      <c r="T1583" s="1314"/>
      <c r="U1583" s="1314"/>
      <c r="V1583" s="1314"/>
      <c r="W1583" s="1314"/>
      <c r="X1583" s="1314"/>
      <c r="Y1583" s="1314"/>
      <c r="Z1583" s="1314"/>
    </row>
    <row r="1584" spans="1:26" ht="18.75">
      <c r="A1584" s="1393"/>
      <c r="B1584" s="1393"/>
      <c r="C1584" s="1393"/>
      <c r="D1584" s="1506"/>
      <c r="E1584" s="1393"/>
      <c r="F1584" s="1393"/>
      <c r="G1584" s="1393"/>
      <c r="H1584" s="1507"/>
      <c r="I1584" s="1508"/>
      <c r="J1584" s="1508"/>
      <c r="K1584" s="1509"/>
      <c r="L1584" s="1509"/>
      <c r="M1584" s="1509"/>
      <c r="N1584" s="1509"/>
      <c r="O1584" s="1509"/>
      <c r="P1584" s="1509"/>
      <c r="Q1584" s="1314"/>
      <c r="R1584" s="1314"/>
      <c r="S1584" s="1314"/>
      <c r="T1584" s="1314"/>
      <c r="U1584" s="1314"/>
      <c r="V1584" s="1314"/>
      <c r="W1584" s="1314"/>
      <c r="X1584" s="1314"/>
      <c r="Y1584" s="1314"/>
      <c r="Z1584" s="1314"/>
    </row>
    <row r="1585" spans="1:26" ht="18.75">
      <c r="A1585" s="1393"/>
      <c r="B1585" s="1393"/>
      <c r="C1585" s="1393"/>
      <c r="D1585" s="1506"/>
      <c r="E1585" s="1393"/>
      <c r="F1585" s="1393"/>
      <c r="G1585" s="1393"/>
      <c r="H1585" s="1507"/>
      <c r="I1585" s="1508"/>
      <c r="J1585" s="1508"/>
      <c r="K1585" s="1509"/>
      <c r="L1585" s="1509"/>
      <c r="M1585" s="1509"/>
      <c r="N1585" s="1509"/>
      <c r="O1585" s="1509"/>
      <c r="P1585" s="1509"/>
      <c r="Q1585" s="1314"/>
      <c r="R1585" s="1314"/>
      <c r="S1585" s="1314"/>
      <c r="T1585" s="1314"/>
      <c r="U1585" s="1314"/>
      <c r="V1585" s="1314"/>
      <c r="W1585" s="1314"/>
      <c r="X1585" s="1314"/>
      <c r="Y1585" s="1314"/>
      <c r="Z1585" s="1314"/>
    </row>
    <row r="1586" spans="1:26" ht="18.75">
      <c r="A1586" s="1393"/>
      <c r="B1586" s="1393"/>
      <c r="C1586" s="1393"/>
      <c r="D1586" s="1506"/>
      <c r="E1586" s="1393"/>
      <c r="F1586" s="1393"/>
      <c r="G1586" s="1393"/>
      <c r="H1586" s="1507"/>
      <c r="I1586" s="1508"/>
      <c r="J1586" s="1508"/>
      <c r="K1586" s="1509"/>
      <c r="L1586" s="1509"/>
      <c r="M1586" s="1509"/>
      <c r="N1586" s="1509"/>
      <c r="O1586" s="1509"/>
      <c r="P1586" s="1509"/>
      <c r="Q1586" s="1314"/>
      <c r="R1586" s="1314"/>
      <c r="S1586" s="1314"/>
      <c r="T1586" s="1314"/>
      <c r="U1586" s="1314"/>
      <c r="V1586" s="1314"/>
      <c r="W1586" s="1314"/>
      <c r="X1586" s="1314"/>
      <c r="Y1586" s="1314"/>
      <c r="Z1586" s="1314"/>
    </row>
    <row r="1587" spans="1:26" ht="18.75">
      <c r="A1587" s="1393"/>
      <c r="B1587" s="1393"/>
      <c r="C1587" s="1393"/>
      <c r="D1587" s="1506"/>
      <c r="E1587" s="1393"/>
      <c r="F1587" s="1393"/>
      <c r="G1587" s="1393"/>
      <c r="H1587" s="1507"/>
      <c r="I1587" s="1508"/>
      <c r="J1587" s="1508"/>
      <c r="K1587" s="1509"/>
      <c r="L1587" s="1509"/>
      <c r="M1587" s="1509"/>
      <c r="N1587" s="1509"/>
      <c r="O1587" s="1509"/>
      <c r="P1587" s="1509"/>
      <c r="Q1587" s="1314"/>
      <c r="R1587" s="1314"/>
      <c r="S1587" s="1314"/>
      <c r="T1587" s="1314"/>
      <c r="U1587" s="1314"/>
      <c r="V1587" s="1314"/>
      <c r="W1587" s="1314"/>
      <c r="X1587" s="1314"/>
      <c r="Y1587" s="1314"/>
      <c r="Z1587" s="1314"/>
    </row>
    <row r="1588" spans="1:26" ht="18.75">
      <c r="A1588" s="1393"/>
      <c r="B1588" s="1393"/>
      <c r="C1588" s="1393"/>
      <c r="D1588" s="1506"/>
      <c r="E1588" s="1393"/>
      <c r="F1588" s="1393"/>
      <c r="G1588" s="1393"/>
      <c r="H1588" s="1507"/>
      <c r="I1588" s="1508"/>
      <c r="J1588" s="1508"/>
      <c r="K1588" s="1509"/>
      <c r="L1588" s="1509"/>
      <c r="M1588" s="1509"/>
      <c r="N1588" s="1509"/>
      <c r="O1588" s="1509"/>
      <c r="P1588" s="1509"/>
      <c r="Q1588" s="1314"/>
      <c r="R1588" s="1314"/>
      <c r="S1588" s="1314"/>
      <c r="T1588" s="1314"/>
      <c r="U1588" s="1314"/>
      <c r="V1588" s="1314"/>
      <c r="W1588" s="1314"/>
      <c r="X1588" s="1314"/>
      <c r="Y1588" s="1314"/>
      <c r="Z1588" s="1314"/>
    </row>
    <row r="1589" spans="1:26" ht="18.75">
      <c r="A1589" s="1393"/>
      <c r="B1589" s="1393"/>
      <c r="C1589" s="1393"/>
      <c r="D1589" s="1506"/>
      <c r="E1589" s="1393"/>
      <c r="F1589" s="1393"/>
      <c r="G1589" s="1393"/>
      <c r="H1589" s="1507"/>
      <c r="I1589" s="1508"/>
      <c r="J1589" s="1508"/>
      <c r="K1589" s="1509"/>
      <c r="L1589" s="1509"/>
      <c r="M1589" s="1509"/>
      <c r="N1589" s="1509"/>
      <c r="O1589" s="1509"/>
      <c r="P1589" s="1509"/>
      <c r="Q1589" s="1314"/>
      <c r="R1589" s="1314"/>
      <c r="S1589" s="1314"/>
      <c r="T1589" s="1314"/>
      <c r="U1589" s="1314"/>
      <c r="V1589" s="1314"/>
      <c r="W1589" s="1314"/>
      <c r="X1589" s="1314"/>
      <c r="Y1589" s="1314"/>
      <c r="Z1589" s="1314"/>
    </row>
    <row r="1590" spans="1:26" ht="18.75">
      <c r="A1590" s="1393"/>
      <c r="B1590" s="1393"/>
      <c r="C1590" s="1393"/>
      <c r="D1590" s="1506"/>
      <c r="E1590" s="1393"/>
      <c r="F1590" s="1393"/>
      <c r="G1590" s="1393"/>
      <c r="H1590" s="1507"/>
      <c r="I1590" s="1508"/>
      <c r="J1590" s="1508"/>
      <c r="K1590" s="1509"/>
      <c r="L1590" s="1509"/>
      <c r="M1590" s="1509"/>
      <c r="N1590" s="1509"/>
      <c r="O1590" s="1509"/>
      <c r="P1590" s="1509"/>
      <c r="Q1590" s="1314"/>
      <c r="R1590" s="1314"/>
      <c r="S1590" s="1314"/>
      <c r="T1590" s="1314"/>
      <c r="U1590" s="1314"/>
      <c r="V1590" s="1314"/>
      <c r="W1590" s="1314"/>
      <c r="X1590" s="1314"/>
      <c r="Y1590" s="1314"/>
      <c r="Z1590" s="1314"/>
    </row>
    <row r="1591" spans="1:26" ht="18.75">
      <c r="A1591" s="1393"/>
      <c r="B1591" s="1393"/>
      <c r="C1591" s="1393"/>
      <c r="D1591" s="1506"/>
      <c r="E1591" s="1393"/>
      <c r="F1591" s="1393"/>
      <c r="G1591" s="1393"/>
      <c r="H1591" s="1507"/>
      <c r="I1591" s="1508"/>
      <c r="J1591" s="1508"/>
      <c r="K1591" s="1509"/>
      <c r="L1591" s="1509"/>
      <c r="M1591" s="1509"/>
      <c r="N1591" s="1509"/>
      <c r="O1591" s="1509"/>
      <c r="P1591" s="1509"/>
      <c r="Q1591" s="1314"/>
      <c r="R1591" s="1314"/>
      <c r="S1591" s="1314"/>
      <c r="T1591" s="1314"/>
      <c r="U1591" s="1314"/>
      <c r="V1591" s="1314"/>
      <c r="W1591" s="1314"/>
      <c r="X1591" s="1314"/>
      <c r="Y1591" s="1314"/>
      <c r="Z1591" s="1314"/>
    </row>
    <row r="1592" spans="1:26" ht="18.75">
      <c r="A1592" s="1393"/>
      <c r="B1592" s="1393"/>
      <c r="C1592" s="1393"/>
      <c r="D1592" s="1506"/>
      <c r="E1592" s="1393"/>
      <c r="F1592" s="1393"/>
      <c r="G1592" s="1393"/>
      <c r="H1592" s="1507"/>
      <c r="I1592" s="1508"/>
      <c r="J1592" s="1508"/>
      <c r="K1592" s="1509"/>
      <c r="L1592" s="1509"/>
      <c r="M1592" s="1509"/>
      <c r="N1592" s="1509"/>
      <c r="O1592" s="1509"/>
      <c r="P1592" s="1509"/>
      <c r="Q1592" s="1314"/>
      <c r="R1592" s="1314"/>
      <c r="S1592" s="1314"/>
      <c r="T1592" s="1314"/>
      <c r="U1592" s="1314"/>
      <c r="V1592" s="1314"/>
      <c r="W1592" s="1314"/>
      <c r="X1592" s="1314"/>
      <c r="Y1592" s="1314"/>
      <c r="Z1592" s="1314"/>
    </row>
    <row r="1593" spans="1:26" ht="18.75">
      <c r="A1593" s="1393"/>
      <c r="B1593" s="1393"/>
      <c r="C1593" s="1393"/>
      <c r="D1593" s="1506"/>
      <c r="E1593" s="1393"/>
      <c r="F1593" s="1393"/>
      <c r="G1593" s="1393"/>
      <c r="H1593" s="1507"/>
      <c r="I1593" s="1508"/>
      <c r="J1593" s="1508"/>
      <c r="K1593" s="1509"/>
      <c r="L1593" s="1509"/>
      <c r="M1593" s="1509"/>
      <c r="N1593" s="1509"/>
      <c r="O1593" s="1509"/>
      <c r="P1593" s="1509"/>
      <c r="Q1593" s="1314"/>
      <c r="R1593" s="1314"/>
      <c r="S1593" s="1314"/>
      <c r="T1593" s="1314"/>
      <c r="U1593" s="1314"/>
      <c r="V1593" s="1314"/>
      <c r="W1593" s="1314"/>
      <c r="X1593" s="1314"/>
      <c r="Y1593" s="1314"/>
      <c r="Z1593" s="1314"/>
    </row>
    <row r="1594" spans="1:26" ht="18.75">
      <c r="A1594" s="1393"/>
      <c r="B1594" s="1393"/>
      <c r="C1594" s="1393"/>
      <c r="D1594" s="1506"/>
      <c r="E1594" s="1393"/>
      <c r="F1594" s="1393"/>
      <c r="G1594" s="1393"/>
      <c r="H1594" s="1507"/>
      <c r="I1594" s="1508"/>
      <c r="J1594" s="1508"/>
      <c r="K1594" s="1509"/>
      <c r="L1594" s="1509"/>
      <c r="M1594" s="1509"/>
      <c r="N1594" s="1509"/>
      <c r="O1594" s="1509"/>
      <c r="P1594" s="1509"/>
      <c r="Q1594" s="1314"/>
      <c r="R1594" s="1314"/>
      <c r="S1594" s="1314"/>
      <c r="T1594" s="1314"/>
      <c r="U1594" s="1314"/>
      <c r="V1594" s="1314"/>
      <c r="W1594" s="1314"/>
      <c r="X1594" s="1314"/>
      <c r="Y1594" s="1314"/>
      <c r="Z1594" s="1314"/>
    </row>
    <row r="1595" spans="1:26" ht="18.75">
      <c r="A1595" s="1393"/>
      <c r="B1595" s="1393"/>
      <c r="C1595" s="1393"/>
      <c r="D1595" s="1506"/>
      <c r="E1595" s="1393"/>
      <c r="F1595" s="1393"/>
      <c r="G1595" s="1393"/>
      <c r="H1595" s="1507"/>
      <c r="I1595" s="1508"/>
      <c r="J1595" s="1508"/>
      <c r="K1595" s="1509"/>
      <c r="L1595" s="1509"/>
      <c r="M1595" s="1509"/>
      <c r="N1595" s="1509"/>
      <c r="O1595" s="1509"/>
      <c r="P1595" s="1509"/>
      <c r="Q1595" s="1314"/>
      <c r="R1595" s="1314"/>
      <c r="S1595" s="1314"/>
      <c r="T1595" s="1314"/>
      <c r="U1595" s="1314"/>
      <c r="V1595" s="1314"/>
      <c r="W1595" s="1314"/>
      <c r="X1595" s="1314"/>
      <c r="Y1595" s="1314"/>
      <c r="Z1595" s="1314"/>
    </row>
    <row r="1596" spans="1:26" ht="18.75">
      <c r="A1596" s="1393"/>
      <c r="B1596" s="1393"/>
      <c r="C1596" s="1393"/>
      <c r="D1596" s="1506"/>
      <c r="E1596" s="1393"/>
      <c r="F1596" s="1393"/>
      <c r="G1596" s="1393"/>
      <c r="H1596" s="1507"/>
      <c r="I1596" s="1508"/>
      <c r="J1596" s="1508"/>
      <c r="K1596" s="1509"/>
      <c r="L1596" s="1509"/>
      <c r="M1596" s="1509"/>
      <c r="N1596" s="1509"/>
      <c r="O1596" s="1509"/>
      <c r="P1596" s="1509"/>
      <c r="Q1596" s="1314"/>
      <c r="R1596" s="1314"/>
      <c r="S1596" s="1314"/>
      <c r="T1596" s="1314"/>
      <c r="U1596" s="1314"/>
      <c r="V1596" s="1314"/>
      <c r="W1596" s="1314"/>
      <c r="X1596" s="1314"/>
      <c r="Y1596" s="1314"/>
      <c r="Z1596" s="1314"/>
    </row>
    <row r="1597" spans="1:26" ht="18.75">
      <c r="A1597" s="1393"/>
      <c r="B1597" s="1393"/>
      <c r="C1597" s="1393"/>
      <c r="D1597" s="1506"/>
      <c r="E1597" s="1393"/>
      <c r="F1597" s="1393"/>
      <c r="G1597" s="1393"/>
      <c r="H1597" s="1507"/>
      <c r="I1597" s="1508"/>
      <c r="J1597" s="1508"/>
      <c r="K1597" s="1509"/>
      <c r="L1597" s="1509"/>
      <c r="M1597" s="1509"/>
      <c r="N1597" s="1509"/>
      <c r="O1597" s="1509"/>
      <c r="P1597" s="1509"/>
      <c r="Q1597" s="1314"/>
      <c r="R1597" s="1314"/>
      <c r="S1597" s="1314"/>
      <c r="T1597" s="1314"/>
      <c r="U1597" s="1314"/>
      <c r="V1597" s="1314"/>
      <c r="W1597" s="1314"/>
      <c r="X1597" s="1314"/>
      <c r="Y1597" s="1314"/>
      <c r="Z1597" s="1314"/>
    </row>
    <row r="1598" spans="1:26" ht="18.75">
      <c r="A1598" s="1393"/>
      <c r="B1598" s="1393"/>
      <c r="C1598" s="1393"/>
      <c r="D1598" s="1506"/>
      <c r="E1598" s="1393"/>
      <c r="F1598" s="1393"/>
      <c r="G1598" s="1393"/>
      <c r="H1598" s="1507"/>
      <c r="I1598" s="1508"/>
      <c r="J1598" s="1508"/>
      <c r="K1598" s="1509"/>
      <c r="L1598" s="1509"/>
      <c r="M1598" s="1509"/>
      <c r="N1598" s="1509"/>
      <c r="O1598" s="1509"/>
      <c r="P1598" s="1509"/>
      <c r="Q1598" s="1314"/>
      <c r="R1598" s="1314"/>
      <c r="S1598" s="1314"/>
      <c r="T1598" s="1314"/>
      <c r="U1598" s="1314"/>
      <c r="V1598" s="1314"/>
      <c r="W1598" s="1314"/>
      <c r="X1598" s="1314"/>
      <c r="Y1598" s="1314"/>
      <c r="Z1598" s="1314"/>
    </row>
    <row r="1599" spans="1:26" ht="18.75">
      <c r="A1599" s="1393"/>
      <c r="B1599" s="1393"/>
      <c r="C1599" s="1393"/>
      <c r="D1599" s="1506"/>
      <c r="E1599" s="1393"/>
      <c r="F1599" s="1393"/>
      <c r="G1599" s="1393"/>
      <c r="H1599" s="1507"/>
      <c r="I1599" s="1508"/>
      <c r="J1599" s="1508"/>
      <c r="K1599" s="1509"/>
      <c r="L1599" s="1509"/>
      <c r="M1599" s="1509"/>
      <c r="N1599" s="1509"/>
      <c r="O1599" s="1509"/>
      <c r="P1599" s="1509"/>
      <c r="Q1599" s="1314"/>
      <c r="R1599" s="1314"/>
      <c r="S1599" s="1314"/>
      <c r="T1599" s="1314"/>
      <c r="U1599" s="1314"/>
      <c r="V1599" s="1314"/>
      <c r="W1599" s="1314"/>
      <c r="X1599" s="1314"/>
      <c r="Y1599" s="1314"/>
      <c r="Z1599" s="1314"/>
    </row>
    <row r="1600" spans="1:26" ht="18.75">
      <c r="A1600" s="1393"/>
      <c r="B1600" s="1393"/>
      <c r="C1600" s="1393"/>
      <c r="D1600" s="1506"/>
      <c r="E1600" s="1393"/>
      <c r="F1600" s="1393"/>
      <c r="G1600" s="1393"/>
      <c r="H1600" s="1507"/>
      <c r="I1600" s="1508"/>
      <c r="J1600" s="1508"/>
      <c r="K1600" s="1509"/>
      <c r="L1600" s="1509"/>
      <c r="M1600" s="1509"/>
      <c r="N1600" s="1509"/>
      <c r="O1600" s="1509"/>
      <c r="P1600" s="1509"/>
      <c r="Q1600" s="1314"/>
      <c r="R1600" s="1314"/>
      <c r="S1600" s="1314"/>
      <c r="T1600" s="1314"/>
      <c r="U1600" s="1314"/>
      <c r="V1600" s="1314"/>
      <c r="W1600" s="1314"/>
      <c r="X1600" s="1314"/>
      <c r="Y1600" s="1314"/>
      <c r="Z1600" s="1314"/>
    </row>
    <row r="1601" spans="1:26" ht="18.75">
      <c r="A1601" s="1393"/>
      <c r="B1601" s="1393"/>
      <c r="C1601" s="1393"/>
      <c r="D1601" s="1506"/>
      <c r="E1601" s="1393"/>
      <c r="F1601" s="1393"/>
      <c r="G1601" s="1393"/>
      <c r="H1601" s="1507"/>
      <c r="I1601" s="1508"/>
      <c r="J1601" s="1508"/>
      <c r="K1601" s="1509"/>
      <c r="L1601" s="1509"/>
      <c r="M1601" s="1509"/>
      <c r="N1601" s="1509"/>
      <c r="O1601" s="1509"/>
      <c r="P1601" s="1509"/>
      <c r="Q1601" s="1314"/>
      <c r="R1601" s="1314"/>
      <c r="S1601" s="1314"/>
      <c r="T1601" s="1314"/>
      <c r="U1601" s="1314"/>
      <c r="V1601" s="1314"/>
      <c r="W1601" s="1314"/>
      <c r="X1601" s="1314"/>
      <c r="Y1601" s="1314"/>
      <c r="Z1601" s="1314"/>
    </row>
    <row r="1602" spans="1:26" ht="18.75">
      <c r="A1602" s="1393"/>
      <c r="B1602" s="1393"/>
      <c r="C1602" s="1393"/>
      <c r="D1602" s="1506"/>
      <c r="E1602" s="1393"/>
      <c r="F1602" s="1393"/>
      <c r="G1602" s="1393"/>
      <c r="H1602" s="1507"/>
      <c r="I1602" s="1508"/>
      <c r="J1602" s="1508"/>
      <c r="K1602" s="1509"/>
      <c r="L1602" s="1509"/>
      <c r="M1602" s="1509"/>
      <c r="N1602" s="1509"/>
      <c r="O1602" s="1509"/>
      <c r="P1602" s="1509"/>
      <c r="Q1602" s="1314"/>
      <c r="R1602" s="1314"/>
      <c r="S1602" s="1314"/>
      <c r="T1602" s="1314"/>
      <c r="U1602" s="1314"/>
      <c r="V1602" s="1314"/>
      <c r="W1602" s="1314"/>
      <c r="X1602" s="1314"/>
      <c r="Y1602" s="1314"/>
      <c r="Z1602" s="1314"/>
    </row>
    <row r="1603" spans="1:26" ht="18.75">
      <c r="A1603" s="1393"/>
      <c r="B1603" s="1393"/>
      <c r="C1603" s="1393"/>
      <c r="D1603" s="1506"/>
      <c r="E1603" s="1393"/>
      <c r="F1603" s="1393"/>
      <c r="G1603" s="1393"/>
      <c r="H1603" s="1507"/>
      <c r="I1603" s="1508"/>
      <c r="J1603" s="1508"/>
      <c r="K1603" s="1509"/>
      <c r="L1603" s="1509"/>
      <c r="M1603" s="1509"/>
      <c r="N1603" s="1509"/>
      <c r="O1603" s="1509"/>
      <c r="P1603" s="1509"/>
      <c r="Q1603" s="1314"/>
      <c r="R1603" s="1314"/>
      <c r="S1603" s="1314"/>
      <c r="T1603" s="1314"/>
      <c r="U1603" s="1314"/>
      <c r="V1603" s="1314"/>
      <c r="W1603" s="1314"/>
      <c r="X1603" s="1314"/>
      <c r="Y1603" s="1314"/>
      <c r="Z1603" s="1314"/>
    </row>
    <row r="1604" spans="1:26" ht="18.75">
      <c r="A1604" s="1393"/>
      <c r="B1604" s="1393"/>
      <c r="C1604" s="1393"/>
      <c r="D1604" s="1506"/>
      <c r="E1604" s="1393"/>
      <c r="F1604" s="1393"/>
      <c r="G1604" s="1393"/>
      <c r="H1604" s="1507"/>
      <c r="I1604" s="1508"/>
      <c r="J1604" s="1508"/>
      <c r="K1604" s="1509"/>
      <c r="L1604" s="1509"/>
      <c r="M1604" s="1509"/>
      <c r="N1604" s="1509"/>
      <c r="O1604" s="1509"/>
      <c r="P1604" s="1509"/>
      <c r="Q1604" s="1314"/>
      <c r="R1604" s="1314"/>
      <c r="S1604" s="1314"/>
      <c r="T1604" s="1314"/>
      <c r="U1604" s="1314"/>
      <c r="V1604" s="1314"/>
      <c r="W1604" s="1314"/>
      <c r="X1604" s="1314"/>
      <c r="Y1604" s="1314"/>
      <c r="Z1604" s="1314"/>
    </row>
    <row r="1605" spans="1:26" ht="18.75">
      <c r="A1605" s="1393"/>
      <c r="B1605" s="1393"/>
      <c r="C1605" s="1393"/>
      <c r="D1605" s="1506"/>
      <c r="E1605" s="1393"/>
      <c r="F1605" s="1393"/>
      <c r="G1605" s="1393"/>
      <c r="H1605" s="1507"/>
      <c r="I1605" s="1508"/>
      <c r="J1605" s="1508"/>
      <c r="K1605" s="1509"/>
      <c r="L1605" s="1509"/>
      <c r="M1605" s="1509"/>
      <c r="N1605" s="1509"/>
      <c r="O1605" s="1509"/>
      <c r="P1605" s="1509"/>
      <c r="Q1605" s="1314"/>
      <c r="R1605" s="1314"/>
      <c r="S1605" s="1314"/>
      <c r="T1605" s="1314"/>
      <c r="U1605" s="1314"/>
      <c r="V1605" s="1314"/>
      <c r="W1605" s="1314"/>
      <c r="X1605" s="1314"/>
      <c r="Y1605" s="1314"/>
      <c r="Z1605" s="1314"/>
    </row>
    <row r="1606" spans="1:26" ht="18.75">
      <c r="A1606" s="1393"/>
      <c r="B1606" s="1393"/>
      <c r="C1606" s="1393"/>
      <c r="D1606" s="1506"/>
      <c r="E1606" s="1393"/>
      <c r="F1606" s="1393"/>
      <c r="G1606" s="1393"/>
      <c r="H1606" s="1507"/>
      <c r="I1606" s="1508"/>
      <c r="J1606" s="1508"/>
      <c r="K1606" s="1509"/>
      <c r="L1606" s="1509"/>
      <c r="M1606" s="1509"/>
      <c r="N1606" s="1509"/>
      <c r="O1606" s="1509"/>
      <c r="P1606" s="1509"/>
      <c r="Q1606" s="1314"/>
      <c r="R1606" s="1314"/>
      <c r="S1606" s="1314"/>
      <c r="T1606" s="1314"/>
      <c r="U1606" s="1314"/>
      <c r="V1606" s="1314"/>
      <c r="W1606" s="1314"/>
      <c r="X1606" s="1314"/>
      <c r="Y1606" s="1314"/>
      <c r="Z1606" s="1314"/>
    </row>
    <row r="1607" spans="1:26" ht="18.75">
      <c r="A1607" s="1393"/>
      <c r="B1607" s="1393"/>
      <c r="C1607" s="1393"/>
      <c r="D1607" s="1506"/>
      <c r="E1607" s="1393"/>
      <c r="F1607" s="1393"/>
      <c r="G1607" s="1393"/>
      <c r="H1607" s="1507"/>
      <c r="I1607" s="1508"/>
      <c r="J1607" s="1508"/>
      <c r="K1607" s="1509"/>
      <c r="L1607" s="1509"/>
      <c r="M1607" s="1509"/>
      <c r="N1607" s="1509"/>
      <c r="O1607" s="1509"/>
      <c r="P1607" s="1509"/>
      <c r="Q1607" s="1314"/>
      <c r="R1607" s="1314"/>
      <c r="S1607" s="1314"/>
      <c r="T1607" s="1314"/>
      <c r="U1607" s="1314"/>
      <c r="V1607" s="1314"/>
      <c r="W1607" s="1314"/>
      <c r="X1607" s="1314"/>
      <c r="Y1607" s="1314"/>
      <c r="Z1607" s="1314"/>
    </row>
    <row r="1608" spans="1:26" ht="18.75">
      <c r="A1608" s="1393"/>
      <c r="B1608" s="1393"/>
      <c r="C1608" s="1393"/>
      <c r="D1608" s="1506"/>
      <c r="E1608" s="1393"/>
      <c r="F1608" s="1393"/>
      <c r="G1608" s="1393"/>
      <c r="H1608" s="1507"/>
      <c r="I1608" s="1508"/>
      <c r="J1608" s="1508"/>
      <c r="K1608" s="1509"/>
      <c r="L1608" s="1509"/>
      <c r="M1608" s="1509"/>
      <c r="N1608" s="1509"/>
      <c r="O1608" s="1509"/>
      <c r="P1608" s="1509"/>
      <c r="Q1608" s="1314"/>
      <c r="R1608" s="1314"/>
      <c r="S1608" s="1314"/>
      <c r="T1608" s="1314"/>
      <c r="U1608" s="1314"/>
      <c r="V1608" s="1314"/>
      <c r="W1608" s="1314"/>
      <c r="X1608" s="1314"/>
      <c r="Y1608" s="1314"/>
      <c r="Z1608" s="1314"/>
    </row>
    <row r="1609" spans="1:26" ht="18.75">
      <c r="A1609" s="1393"/>
      <c r="B1609" s="1393"/>
      <c r="C1609" s="1393"/>
      <c r="D1609" s="1506"/>
      <c r="E1609" s="1393"/>
      <c r="F1609" s="1393"/>
      <c r="G1609" s="1393"/>
      <c r="H1609" s="1507"/>
      <c r="I1609" s="1508"/>
      <c r="J1609" s="1508"/>
      <c r="K1609" s="1509"/>
      <c r="L1609" s="1509"/>
      <c r="M1609" s="1509"/>
      <c r="N1609" s="1509"/>
      <c r="O1609" s="1509"/>
      <c r="P1609" s="1509"/>
      <c r="Q1609" s="1314"/>
      <c r="R1609" s="1314"/>
      <c r="S1609" s="1314"/>
      <c r="T1609" s="1314"/>
      <c r="U1609" s="1314"/>
      <c r="V1609" s="1314"/>
      <c r="W1609" s="1314"/>
      <c r="X1609" s="1314"/>
      <c r="Y1609" s="1314"/>
      <c r="Z1609" s="1314"/>
    </row>
    <row r="1610" spans="1:26" ht="18.75">
      <c r="A1610" s="1393"/>
      <c r="B1610" s="1393"/>
      <c r="C1610" s="1393"/>
      <c r="D1610" s="1506"/>
      <c r="E1610" s="1393"/>
      <c r="F1610" s="1393"/>
      <c r="G1610" s="1393"/>
      <c r="H1610" s="1507"/>
      <c r="I1610" s="1508"/>
      <c r="J1610" s="1508"/>
      <c r="K1610" s="1509"/>
      <c r="L1610" s="1509"/>
      <c r="M1610" s="1509"/>
      <c r="N1610" s="1509"/>
      <c r="O1610" s="1509"/>
      <c r="P1610" s="1509"/>
      <c r="Q1610" s="1314"/>
      <c r="R1610" s="1314"/>
      <c r="S1610" s="1314"/>
      <c r="T1610" s="1314"/>
      <c r="U1610" s="1314"/>
      <c r="V1610" s="1314"/>
      <c r="W1610" s="1314"/>
      <c r="X1610" s="1314"/>
      <c r="Y1610" s="1314"/>
      <c r="Z1610" s="1314"/>
    </row>
    <row r="1611" spans="1:26" ht="18.75">
      <c r="A1611" s="1393"/>
      <c r="B1611" s="1393"/>
      <c r="C1611" s="1393"/>
      <c r="D1611" s="1506"/>
      <c r="E1611" s="1393"/>
      <c r="F1611" s="1393"/>
      <c r="G1611" s="1393"/>
      <c r="H1611" s="1507"/>
      <c r="I1611" s="1508"/>
      <c r="J1611" s="1508"/>
      <c r="K1611" s="1509"/>
      <c r="L1611" s="1509"/>
      <c r="M1611" s="1509"/>
      <c r="N1611" s="1509"/>
      <c r="O1611" s="1509"/>
      <c r="P1611" s="1509"/>
      <c r="Q1611" s="1314"/>
      <c r="R1611" s="1314"/>
      <c r="S1611" s="1314"/>
      <c r="T1611" s="1314"/>
      <c r="U1611" s="1314"/>
      <c r="V1611" s="1314"/>
      <c r="W1611" s="1314"/>
      <c r="X1611" s="1314"/>
      <c r="Y1611" s="1314"/>
      <c r="Z1611" s="1314"/>
    </row>
    <row r="1612" spans="1:26" ht="18.75">
      <c r="A1612" s="1393"/>
      <c r="B1612" s="1393"/>
      <c r="C1612" s="1393"/>
      <c r="D1612" s="1506"/>
      <c r="E1612" s="1393"/>
      <c r="F1612" s="1393"/>
      <c r="G1612" s="1393"/>
      <c r="H1612" s="1507"/>
      <c r="I1612" s="1508"/>
      <c r="J1612" s="1508"/>
      <c r="K1612" s="1509"/>
      <c r="L1612" s="1509"/>
      <c r="M1612" s="1509"/>
      <c r="N1612" s="1509"/>
      <c r="O1612" s="1509"/>
      <c r="P1612" s="1509"/>
      <c r="Q1612" s="1314"/>
      <c r="R1612" s="1314"/>
      <c r="S1612" s="1314"/>
      <c r="T1612" s="1314"/>
      <c r="U1612" s="1314"/>
      <c r="V1612" s="1314"/>
      <c r="W1612" s="1314"/>
      <c r="X1612" s="1314"/>
      <c r="Y1612" s="1314"/>
      <c r="Z1612" s="1314"/>
    </row>
    <row r="1613" spans="1:26" ht="18.75">
      <c r="A1613" s="1393"/>
      <c r="B1613" s="1393"/>
      <c r="C1613" s="1393"/>
      <c r="D1613" s="1506"/>
      <c r="E1613" s="1393"/>
      <c r="F1613" s="1393"/>
      <c r="G1613" s="1393"/>
      <c r="H1613" s="1507"/>
      <c r="I1613" s="1508"/>
      <c r="J1613" s="1508"/>
      <c r="K1613" s="1509"/>
      <c r="L1613" s="1509"/>
      <c r="M1613" s="1509"/>
      <c r="N1613" s="1509"/>
      <c r="O1613" s="1509"/>
      <c r="P1613" s="1509"/>
      <c r="Q1613" s="1314"/>
      <c r="R1613" s="1314"/>
      <c r="S1613" s="1314"/>
      <c r="T1613" s="1314"/>
      <c r="U1613" s="1314"/>
      <c r="V1613" s="1314"/>
      <c r="W1613" s="1314"/>
      <c r="X1613" s="1314"/>
      <c r="Y1613" s="1314"/>
      <c r="Z1613" s="1314"/>
    </row>
    <row r="1614" spans="1:26" ht="18.75">
      <c r="A1614" s="1393"/>
      <c r="B1614" s="1393"/>
      <c r="C1614" s="1393"/>
      <c r="D1614" s="1506"/>
      <c r="E1614" s="1393"/>
      <c r="F1614" s="1393"/>
      <c r="G1614" s="1393"/>
      <c r="H1614" s="1507"/>
      <c r="I1614" s="1508"/>
      <c r="J1614" s="1508"/>
      <c r="K1614" s="1509"/>
      <c r="L1614" s="1509"/>
      <c r="M1614" s="1509"/>
      <c r="N1614" s="1509"/>
      <c r="O1614" s="1509"/>
      <c r="P1614" s="1509"/>
      <c r="Q1614" s="1314"/>
      <c r="R1614" s="1314"/>
      <c r="S1614" s="1314"/>
      <c r="T1614" s="1314"/>
      <c r="U1614" s="1314"/>
      <c r="V1614" s="1314"/>
      <c r="W1614" s="1314"/>
      <c r="X1614" s="1314"/>
      <c r="Y1614" s="1314"/>
      <c r="Z1614" s="1314"/>
    </row>
    <row r="1615" spans="1:26" ht="18.75">
      <c r="A1615" s="1393"/>
      <c r="B1615" s="1393"/>
      <c r="C1615" s="1393"/>
      <c r="D1615" s="1506"/>
      <c r="E1615" s="1393"/>
      <c r="F1615" s="1393"/>
      <c r="G1615" s="1393"/>
      <c r="H1615" s="1507"/>
      <c r="I1615" s="1508"/>
      <c r="J1615" s="1508"/>
      <c r="K1615" s="1509"/>
      <c r="L1615" s="1509"/>
      <c r="M1615" s="1509"/>
      <c r="N1615" s="1509"/>
      <c r="O1615" s="1509"/>
      <c r="P1615" s="1509"/>
      <c r="Q1615" s="1314"/>
      <c r="R1615" s="1314"/>
      <c r="S1615" s="1314"/>
      <c r="T1615" s="1314"/>
      <c r="U1615" s="1314"/>
      <c r="V1615" s="1314"/>
      <c r="W1615" s="1314"/>
      <c r="X1615" s="1314"/>
      <c r="Y1615" s="1314"/>
      <c r="Z1615" s="1314"/>
    </row>
    <row r="1616" spans="1:26" ht="18.75">
      <c r="A1616" s="1393"/>
      <c r="B1616" s="1393"/>
      <c r="C1616" s="1393"/>
      <c r="D1616" s="1506"/>
      <c r="E1616" s="1393"/>
      <c r="F1616" s="1393"/>
      <c r="G1616" s="1393"/>
      <c r="H1616" s="1507"/>
      <c r="I1616" s="1508"/>
      <c r="J1616" s="1508"/>
      <c r="K1616" s="1509"/>
      <c r="L1616" s="1509"/>
      <c r="M1616" s="1509"/>
      <c r="N1616" s="1509"/>
      <c r="O1616" s="1509"/>
      <c r="P1616" s="1509"/>
      <c r="Q1616" s="1314"/>
      <c r="R1616" s="1314"/>
      <c r="S1616" s="1314"/>
      <c r="T1616" s="1314"/>
      <c r="U1616" s="1314"/>
      <c r="V1616" s="1314"/>
      <c r="W1616" s="1314"/>
      <c r="X1616" s="1314"/>
      <c r="Y1616" s="1314"/>
      <c r="Z1616" s="1314"/>
    </row>
    <row r="1617" spans="1:26" ht="18.75">
      <c r="A1617" s="1393"/>
      <c r="B1617" s="1393"/>
      <c r="C1617" s="1393"/>
      <c r="D1617" s="1506"/>
      <c r="E1617" s="1393"/>
      <c r="F1617" s="1393"/>
      <c r="G1617" s="1393"/>
      <c r="H1617" s="1507"/>
      <c r="I1617" s="1508"/>
      <c r="J1617" s="1508"/>
      <c r="K1617" s="1509"/>
      <c r="L1617" s="1509"/>
      <c r="M1617" s="1509"/>
      <c r="N1617" s="1509"/>
      <c r="O1617" s="1509"/>
      <c r="P1617" s="1509"/>
      <c r="Q1617" s="1314"/>
      <c r="R1617" s="1314"/>
      <c r="S1617" s="1314"/>
      <c r="T1617" s="1314"/>
      <c r="U1617" s="1314"/>
      <c r="V1617" s="1314"/>
      <c r="W1617" s="1314"/>
      <c r="X1617" s="1314"/>
      <c r="Y1617" s="1314"/>
      <c r="Z1617" s="1314"/>
    </row>
    <row r="1618" spans="1:26" ht="18.75">
      <c r="A1618" s="1393"/>
      <c r="B1618" s="1393"/>
      <c r="C1618" s="1393"/>
      <c r="D1618" s="1506"/>
      <c r="E1618" s="1393"/>
      <c r="F1618" s="1393"/>
      <c r="G1618" s="1393"/>
      <c r="H1618" s="1507"/>
      <c r="I1618" s="1508"/>
      <c r="J1618" s="1508"/>
      <c r="K1618" s="1509"/>
      <c r="L1618" s="1509"/>
      <c r="M1618" s="1509"/>
      <c r="N1618" s="1509"/>
      <c r="O1618" s="1509"/>
      <c r="P1618" s="1509"/>
      <c r="Q1618" s="1314"/>
      <c r="R1618" s="1314"/>
      <c r="S1618" s="1314"/>
      <c r="T1618" s="1314"/>
      <c r="U1618" s="1314"/>
      <c r="V1618" s="1314"/>
      <c r="W1618" s="1314"/>
      <c r="X1618" s="1314"/>
      <c r="Y1618" s="1314"/>
      <c r="Z1618" s="1314"/>
    </row>
    <row r="1619" spans="1:26" ht="18.75">
      <c r="A1619" s="1393"/>
      <c r="B1619" s="1393"/>
      <c r="C1619" s="1393"/>
      <c r="D1619" s="1506"/>
      <c r="E1619" s="1393"/>
      <c r="F1619" s="1393"/>
      <c r="G1619" s="1393"/>
      <c r="H1619" s="1507"/>
      <c r="I1619" s="1508"/>
      <c r="J1619" s="1508"/>
      <c r="K1619" s="1509"/>
      <c r="L1619" s="1509"/>
      <c r="M1619" s="1509"/>
      <c r="N1619" s="1509"/>
      <c r="O1619" s="1509"/>
      <c r="P1619" s="1509"/>
      <c r="Q1619" s="1314"/>
      <c r="R1619" s="1314"/>
      <c r="S1619" s="1314"/>
      <c r="T1619" s="1314"/>
      <c r="U1619" s="1314"/>
      <c r="V1619" s="1314"/>
      <c r="W1619" s="1314"/>
      <c r="X1619" s="1314"/>
      <c r="Y1619" s="1314"/>
      <c r="Z1619" s="1314"/>
    </row>
    <row r="1620" spans="1:26" ht="18.75">
      <c r="A1620" s="1393"/>
      <c r="B1620" s="1393"/>
      <c r="C1620" s="1393"/>
      <c r="D1620" s="1506"/>
      <c r="E1620" s="1393"/>
      <c r="F1620" s="1393"/>
      <c r="G1620" s="1393"/>
      <c r="H1620" s="1507"/>
      <c r="I1620" s="1508"/>
      <c r="J1620" s="1508"/>
      <c r="K1620" s="1509"/>
      <c r="L1620" s="1509"/>
      <c r="M1620" s="1509"/>
      <c r="N1620" s="1509"/>
      <c r="O1620" s="1509"/>
      <c r="P1620" s="1509"/>
      <c r="Q1620" s="1314"/>
      <c r="R1620" s="1314"/>
      <c r="S1620" s="1314"/>
      <c r="T1620" s="1314"/>
      <c r="U1620" s="1314"/>
      <c r="V1620" s="1314"/>
      <c r="W1620" s="1314"/>
      <c r="X1620" s="1314"/>
      <c r="Y1620" s="1314"/>
      <c r="Z1620" s="1314"/>
    </row>
    <row r="1621" spans="1:26" ht="18.75">
      <c r="A1621" s="1393"/>
      <c r="B1621" s="1393"/>
      <c r="C1621" s="1393"/>
      <c r="D1621" s="1506"/>
      <c r="E1621" s="1393"/>
      <c r="F1621" s="1393"/>
      <c r="G1621" s="1393"/>
      <c r="H1621" s="1507"/>
      <c r="I1621" s="1508"/>
      <c r="J1621" s="1508"/>
      <c r="K1621" s="1509"/>
      <c r="L1621" s="1509"/>
      <c r="M1621" s="1509"/>
      <c r="N1621" s="1509"/>
      <c r="O1621" s="1509"/>
      <c r="P1621" s="1509"/>
      <c r="Q1621" s="1314"/>
      <c r="R1621" s="1314"/>
      <c r="S1621" s="1314"/>
      <c r="T1621" s="1314"/>
      <c r="U1621" s="1314"/>
      <c r="V1621" s="1314"/>
      <c r="W1621" s="1314"/>
      <c r="X1621" s="1314"/>
      <c r="Y1621" s="1314"/>
      <c r="Z1621" s="1314"/>
    </row>
    <row r="1622" spans="1:26" ht="18.75">
      <c r="A1622" s="1393"/>
      <c r="B1622" s="1393"/>
      <c r="C1622" s="1393"/>
      <c r="D1622" s="1506"/>
      <c r="E1622" s="1393"/>
      <c r="F1622" s="1393"/>
      <c r="G1622" s="1393"/>
      <c r="H1622" s="1507"/>
      <c r="I1622" s="1508"/>
      <c r="J1622" s="1508"/>
      <c r="K1622" s="1509"/>
      <c r="L1622" s="1509"/>
      <c r="M1622" s="1509"/>
      <c r="N1622" s="1509"/>
      <c r="O1622" s="1509"/>
      <c r="P1622" s="1509"/>
      <c r="Q1622" s="1314"/>
      <c r="R1622" s="1314"/>
      <c r="S1622" s="1314"/>
      <c r="T1622" s="1314"/>
      <c r="U1622" s="1314"/>
      <c r="V1622" s="1314"/>
      <c r="W1622" s="1314"/>
      <c r="X1622" s="1314"/>
      <c r="Y1622" s="1314"/>
      <c r="Z1622" s="1314"/>
    </row>
    <row r="1623" spans="1:26" ht="18.75">
      <c r="A1623" s="1393"/>
      <c r="B1623" s="1393"/>
      <c r="C1623" s="1393"/>
      <c r="D1623" s="1506"/>
      <c r="E1623" s="1393"/>
      <c r="F1623" s="1393"/>
      <c r="G1623" s="1393"/>
      <c r="H1623" s="1507"/>
      <c r="I1623" s="1508"/>
      <c r="J1623" s="1508"/>
      <c r="K1623" s="1509"/>
      <c r="L1623" s="1509"/>
      <c r="M1623" s="1509"/>
      <c r="N1623" s="1509"/>
      <c r="O1623" s="1509"/>
      <c r="P1623" s="1509"/>
      <c r="Q1623" s="1314"/>
      <c r="R1623" s="1314"/>
      <c r="S1623" s="1314"/>
      <c r="T1623" s="1314"/>
      <c r="U1623" s="1314"/>
      <c r="V1623" s="1314"/>
      <c r="W1623" s="1314"/>
      <c r="X1623" s="1314"/>
      <c r="Y1623" s="1314"/>
      <c r="Z1623" s="1314"/>
    </row>
    <row r="1624" spans="1:26" ht="18.75">
      <c r="A1624" s="1393"/>
      <c r="B1624" s="1393"/>
      <c r="C1624" s="1393"/>
      <c r="D1624" s="1506"/>
      <c r="E1624" s="1393"/>
      <c r="F1624" s="1393"/>
      <c r="G1624" s="1393"/>
      <c r="H1624" s="1507"/>
      <c r="I1624" s="1508"/>
      <c r="J1624" s="1508"/>
      <c r="K1624" s="1509"/>
      <c r="L1624" s="1509"/>
      <c r="M1624" s="1509"/>
      <c r="N1624" s="1509"/>
      <c r="O1624" s="1509"/>
      <c r="P1624" s="1509"/>
      <c r="Q1624" s="1314"/>
      <c r="R1624" s="1314"/>
      <c r="S1624" s="1314"/>
      <c r="T1624" s="1314"/>
      <c r="U1624" s="1314"/>
      <c r="V1624" s="1314"/>
      <c r="W1624" s="1314"/>
      <c r="X1624" s="1314"/>
      <c r="Y1624" s="1314"/>
      <c r="Z1624" s="1314"/>
    </row>
    <row r="1625" spans="1:26" ht="18.75">
      <c r="A1625" s="1393"/>
      <c r="B1625" s="1393"/>
      <c r="C1625" s="1393"/>
      <c r="D1625" s="1506"/>
      <c r="E1625" s="1393"/>
      <c r="F1625" s="1393"/>
      <c r="G1625" s="1393"/>
      <c r="H1625" s="1507"/>
      <c r="I1625" s="1508"/>
      <c r="J1625" s="1508"/>
      <c r="K1625" s="1509"/>
      <c r="L1625" s="1509"/>
      <c r="M1625" s="1509"/>
      <c r="N1625" s="1509"/>
      <c r="O1625" s="1509"/>
      <c r="P1625" s="1509"/>
      <c r="Q1625" s="1314"/>
      <c r="R1625" s="1314"/>
      <c r="S1625" s="1314"/>
      <c r="T1625" s="1314"/>
      <c r="U1625" s="1314"/>
      <c r="V1625" s="1314"/>
      <c r="W1625" s="1314"/>
      <c r="X1625" s="1314"/>
      <c r="Y1625" s="1314"/>
      <c r="Z1625" s="1314"/>
    </row>
    <row r="1626" spans="1:26" ht="18.75">
      <c r="A1626" s="1393"/>
      <c r="B1626" s="1393"/>
      <c r="C1626" s="1393"/>
      <c r="D1626" s="1506"/>
      <c r="E1626" s="1393"/>
      <c r="F1626" s="1393"/>
      <c r="G1626" s="1393"/>
      <c r="H1626" s="1507"/>
      <c r="I1626" s="1508"/>
      <c r="J1626" s="1508"/>
      <c r="K1626" s="1509"/>
      <c r="L1626" s="1509"/>
      <c r="M1626" s="1509"/>
      <c r="N1626" s="1509"/>
      <c r="O1626" s="1509"/>
      <c r="P1626" s="1509"/>
      <c r="Q1626" s="1314"/>
      <c r="R1626" s="1314"/>
      <c r="S1626" s="1314"/>
      <c r="T1626" s="1314"/>
      <c r="U1626" s="1314"/>
      <c r="V1626" s="1314"/>
      <c r="W1626" s="1314"/>
      <c r="X1626" s="1314"/>
      <c r="Y1626" s="1314"/>
      <c r="Z1626" s="1314"/>
    </row>
    <row r="1627" spans="1:26" ht="18.75">
      <c r="A1627" s="1393"/>
      <c r="B1627" s="1393"/>
      <c r="C1627" s="1393"/>
      <c r="D1627" s="1506"/>
      <c r="E1627" s="1393"/>
      <c r="F1627" s="1393"/>
      <c r="G1627" s="1393"/>
      <c r="H1627" s="1507"/>
      <c r="I1627" s="1508"/>
      <c r="J1627" s="1508"/>
      <c r="K1627" s="1509"/>
      <c r="L1627" s="1509"/>
      <c r="M1627" s="1509"/>
      <c r="N1627" s="1509"/>
      <c r="O1627" s="1509"/>
      <c r="P1627" s="1509"/>
      <c r="Q1627" s="1314"/>
      <c r="R1627" s="1314"/>
      <c r="S1627" s="1314"/>
      <c r="T1627" s="1314"/>
      <c r="U1627" s="1314"/>
      <c r="V1627" s="1314"/>
      <c r="W1627" s="1314"/>
      <c r="X1627" s="1314"/>
      <c r="Y1627" s="1314"/>
      <c r="Z1627" s="1314"/>
    </row>
    <row r="1628" spans="1:26" ht="18.75">
      <c r="A1628" s="1393"/>
      <c r="B1628" s="1393"/>
      <c r="C1628" s="1393"/>
      <c r="D1628" s="1506"/>
      <c r="E1628" s="1393"/>
      <c r="F1628" s="1393"/>
      <c r="G1628" s="1393"/>
      <c r="H1628" s="1507"/>
      <c r="I1628" s="1508"/>
      <c r="J1628" s="1508"/>
      <c r="K1628" s="1509"/>
      <c r="L1628" s="1509"/>
      <c r="M1628" s="1509"/>
      <c r="N1628" s="1509"/>
      <c r="O1628" s="1509"/>
      <c r="P1628" s="1509"/>
      <c r="Q1628" s="1314"/>
      <c r="R1628" s="1314"/>
      <c r="S1628" s="1314"/>
      <c r="T1628" s="1314"/>
      <c r="U1628" s="1314"/>
      <c r="V1628" s="1314"/>
      <c r="W1628" s="1314"/>
      <c r="X1628" s="1314"/>
      <c r="Y1628" s="1314"/>
      <c r="Z1628" s="1314"/>
    </row>
    <row r="1629" spans="1:26" ht="18.75">
      <c r="A1629" s="1393"/>
      <c r="B1629" s="1393"/>
      <c r="C1629" s="1393"/>
      <c r="D1629" s="1506"/>
      <c r="E1629" s="1393"/>
      <c r="F1629" s="1393"/>
      <c r="G1629" s="1393"/>
      <c r="H1629" s="1507"/>
      <c r="I1629" s="1508"/>
      <c r="J1629" s="1508"/>
      <c r="K1629" s="1509"/>
      <c r="L1629" s="1509"/>
      <c r="M1629" s="1509"/>
      <c r="N1629" s="1509"/>
      <c r="O1629" s="1509"/>
      <c r="P1629" s="1509"/>
      <c r="Q1629" s="1314"/>
      <c r="R1629" s="1314"/>
      <c r="S1629" s="1314"/>
      <c r="T1629" s="1314"/>
      <c r="U1629" s="1314"/>
      <c r="V1629" s="1314"/>
      <c r="W1629" s="1314"/>
      <c r="X1629" s="1314"/>
      <c r="Y1629" s="1314"/>
      <c r="Z1629" s="1314"/>
    </row>
    <row r="1630" spans="1:26" ht="18.75">
      <c r="A1630" s="1393"/>
      <c r="B1630" s="1393"/>
      <c r="C1630" s="1393"/>
      <c r="D1630" s="1506"/>
      <c r="E1630" s="1393"/>
      <c r="F1630" s="1393"/>
      <c r="G1630" s="1393"/>
      <c r="H1630" s="1507"/>
      <c r="I1630" s="1508"/>
      <c r="J1630" s="1508"/>
      <c r="K1630" s="1509"/>
      <c r="L1630" s="1509"/>
      <c r="M1630" s="1509"/>
      <c r="N1630" s="1509"/>
      <c r="O1630" s="1509"/>
      <c r="P1630" s="1509"/>
      <c r="Q1630" s="1314"/>
      <c r="R1630" s="1314"/>
      <c r="S1630" s="1314"/>
      <c r="T1630" s="1314"/>
      <c r="U1630" s="1314"/>
      <c r="V1630" s="1314"/>
      <c r="W1630" s="1314"/>
      <c r="X1630" s="1314"/>
      <c r="Y1630" s="1314"/>
      <c r="Z1630" s="1314"/>
    </row>
    <row r="1631" spans="1:26" ht="18.75">
      <c r="A1631" s="1393"/>
      <c r="B1631" s="1393"/>
      <c r="C1631" s="1393"/>
      <c r="D1631" s="1506"/>
      <c r="E1631" s="1393"/>
      <c r="F1631" s="1393"/>
      <c r="G1631" s="1393"/>
      <c r="H1631" s="1507"/>
      <c r="I1631" s="1508"/>
      <c r="J1631" s="1508"/>
      <c r="K1631" s="1509"/>
      <c r="L1631" s="1509"/>
      <c r="M1631" s="1509"/>
      <c r="N1631" s="1509"/>
      <c r="O1631" s="1509"/>
      <c r="P1631" s="1509"/>
      <c r="Q1631" s="1314"/>
      <c r="R1631" s="1314"/>
      <c r="S1631" s="1314"/>
      <c r="T1631" s="1314"/>
      <c r="U1631" s="1314"/>
      <c r="V1631" s="1314"/>
      <c r="W1631" s="1314"/>
      <c r="X1631" s="1314"/>
      <c r="Y1631" s="1314"/>
      <c r="Z1631" s="1314"/>
    </row>
    <row r="1632" spans="1:26" ht="18.75">
      <c r="A1632" s="1393"/>
      <c r="B1632" s="1393"/>
      <c r="C1632" s="1393"/>
      <c r="D1632" s="1506"/>
      <c r="E1632" s="1393"/>
      <c r="F1632" s="1393"/>
      <c r="G1632" s="1393"/>
      <c r="H1632" s="1507"/>
      <c r="I1632" s="1508"/>
      <c r="J1632" s="1508"/>
      <c r="K1632" s="1509"/>
      <c r="L1632" s="1509"/>
      <c r="M1632" s="1509"/>
      <c r="N1632" s="1509"/>
      <c r="O1632" s="1509"/>
      <c r="P1632" s="1509"/>
      <c r="Q1632" s="1314"/>
      <c r="R1632" s="1314"/>
      <c r="S1632" s="1314"/>
      <c r="T1632" s="1314"/>
      <c r="U1632" s="1314"/>
      <c r="V1632" s="1314"/>
      <c r="W1632" s="1314"/>
      <c r="X1632" s="1314"/>
      <c r="Y1632" s="1314"/>
      <c r="Z1632" s="1314"/>
    </row>
    <row r="1633" spans="1:26" ht="18.75">
      <c r="A1633" s="1393"/>
      <c r="B1633" s="1393"/>
      <c r="C1633" s="1393"/>
      <c r="D1633" s="1506"/>
      <c r="E1633" s="1393"/>
      <c r="F1633" s="1393"/>
      <c r="G1633" s="1393"/>
      <c r="H1633" s="1507"/>
      <c r="I1633" s="1508"/>
      <c r="J1633" s="1508"/>
      <c r="K1633" s="1509"/>
      <c r="L1633" s="1509"/>
      <c r="M1633" s="1509"/>
      <c r="N1633" s="1509"/>
      <c r="O1633" s="1509"/>
      <c r="P1633" s="1509"/>
      <c r="Q1633" s="1314"/>
      <c r="R1633" s="1314"/>
      <c r="S1633" s="1314"/>
      <c r="T1633" s="1314"/>
      <c r="U1633" s="1314"/>
      <c r="V1633" s="1314"/>
      <c r="W1633" s="1314"/>
      <c r="X1633" s="1314"/>
      <c r="Y1633" s="1314"/>
      <c r="Z1633" s="1314"/>
    </row>
    <row r="1634" spans="1:26" ht="18.75">
      <c r="A1634" s="1393"/>
      <c r="B1634" s="1393"/>
      <c r="C1634" s="1393"/>
      <c r="D1634" s="1506"/>
      <c r="E1634" s="1393"/>
      <c r="F1634" s="1393"/>
      <c r="G1634" s="1393"/>
      <c r="H1634" s="1507"/>
      <c r="I1634" s="1508"/>
      <c r="J1634" s="1508"/>
      <c r="K1634" s="1509"/>
      <c r="L1634" s="1509"/>
      <c r="M1634" s="1509"/>
      <c r="N1634" s="1509"/>
      <c r="O1634" s="1509"/>
      <c r="P1634" s="1509"/>
      <c r="Q1634" s="1314"/>
      <c r="R1634" s="1314"/>
      <c r="S1634" s="1314"/>
      <c r="T1634" s="1314"/>
      <c r="U1634" s="1314"/>
      <c r="V1634" s="1314"/>
      <c r="W1634" s="1314"/>
      <c r="X1634" s="1314"/>
      <c r="Y1634" s="1314"/>
      <c r="Z1634" s="1314"/>
    </row>
    <row r="1635" spans="1:26" ht="18.75">
      <c r="A1635" s="1393"/>
      <c r="B1635" s="1393"/>
      <c r="C1635" s="1393"/>
      <c r="D1635" s="1506"/>
      <c r="E1635" s="1393"/>
      <c r="F1635" s="1393"/>
      <c r="G1635" s="1393"/>
      <c r="H1635" s="1507"/>
      <c r="I1635" s="1508"/>
      <c r="J1635" s="1508"/>
      <c r="K1635" s="1509"/>
      <c r="L1635" s="1509"/>
      <c r="M1635" s="1509"/>
      <c r="N1635" s="1509"/>
      <c r="O1635" s="1509"/>
      <c r="P1635" s="1509"/>
      <c r="Q1635" s="1314"/>
      <c r="R1635" s="1314"/>
      <c r="S1635" s="1314"/>
      <c r="T1635" s="1314"/>
      <c r="U1635" s="1314"/>
      <c r="V1635" s="1314"/>
      <c r="W1635" s="1314"/>
      <c r="X1635" s="1314"/>
      <c r="Y1635" s="1314"/>
      <c r="Z1635" s="1314"/>
    </row>
    <row r="1636" spans="1:26" ht="18.75">
      <c r="A1636" s="1393"/>
      <c r="B1636" s="1393"/>
      <c r="C1636" s="1393"/>
      <c r="D1636" s="1506"/>
      <c r="E1636" s="1393"/>
      <c r="F1636" s="1393"/>
      <c r="G1636" s="1393"/>
      <c r="H1636" s="1507"/>
      <c r="I1636" s="1508"/>
      <c r="J1636" s="1508"/>
      <c r="K1636" s="1509"/>
      <c r="L1636" s="1509"/>
      <c r="M1636" s="1509"/>
      <c r="N1636" s="1509"/>
      <c r="O1636" s="1509"/>
      <c r="P1636" s="1509"/>
      <c r="Q1636" s="1314"/>
      <c r="R1636" s="1314"/>
      <c r="S1636" s="1314"/>
      <c r="T1636" s="1314"/>
      <c r="U1636" s="1314"/>
      <c r="V1636" s="1314"/>
      <c r="W1636" s="1314"/>
      <c r="X1636" s="1314"/>
      <c r="Y1636" s="1314"/>
      <c r="Z1636" s="1314"/>
    </row>
    <row r="1637" spans="1:26" ht="18.75">
      <c r="A1637" s="1393"/>
      <c r="B1637" s="1393"/>
      <c r="C1637" s="1393"/>
      <c r="D1637" s="1506"/>
      <c r="E1637" s="1393"/>
      <c r="F1637" s="1393"/>
      <c r="G1637" s="1393"/>
      <c r="H1637" s="1507"/>
      <c r="I1637" s="1508"/>
      <c r="J1637" s="1508"/>
      <c r="K1637" s="1509"/>
      <c r="L1637" s="1509"/>
      <c r="M1637" s="1509"/>
      <c r="N1637" s="1509"/>
      <c r="O1637" s="1509"/>
      <c r="P1637" s="1509"/>
      <c r="Q1637" s="1314"/>
      <c r="R1637" s="1314"/>
      <c r="S1637" s="1314"/>
      <c r="T1637" s="1314"/>
      <c r="U1637" s="1314"/>
      <c r="V1637" s="1314"/>
      <c r="W1637" s="1314"/>
      <c r="X1637" s="1314"/>
      <c r="Y1637" s="1314"/>
      <c r="Z1637" s="1314"/>
    </row>
    <row r="1638" spans="1:26" ht="18.75">
      <c r="A1638" s="1393"/>
      <c r="B1638" s="1393"/>
      <c r="C1638" s="1393"/>
      <c r="D1638" s="1506"/>
      <c r="E1638" s="1393"/>
      <c r="F1638" s="1393"/>
      <c r="G1638" s="1393"/>
      <c r="H1638" s="1507"/>
      <c r="I1638" s="1508"/>
      <c r="J1638" s="1508"/>
      <c r="K1638" s="1509"/>
      <c r="L1638" s="1509"/>
      <c r="M1638" s="1509"/>
      <c r="N1638" s="1509"/>
      <c r="O1638" s="1509"/>
      <c r="P1638" s="1509"/>
      <c r="Q1638" s="1314"/>
      <c r="R1638" s="1314"/>
      <c r="S1638" s="1314"/>
      <c r="T1638" s="1314"/>
      <c r="U1638" s="1314"/>
      <c r="V1638" s="1314"/>
      <c r="W1638" s="1314"/>
      <c r="X1638" s="1314"/>
      <c r="Y1638" s="1314"/>
      <c r="Z1638" s="1314"/>
    </row>
    <row r="1639" spans="1:26" ht="18.75">
      <c r="A1639" s="1393"/>
      <c r="B1639" s="1393"/>
      <c r="C1639" s="1393"/>
      <c r="D1639" s="1506"/>
      <c r="E1639" s="1393"/>
      <c r="F1639" s="1393"/>
      <c r="G1639" s="1393"/>
      <c r="H1639" s="1507"/>
      <c r="I1639" s="1508"/>
      <c r="J1639" s="1508"/>
      <c r="K1639" s="1509"/>
      <c r="L1639" s="1509"/>
      <c r="M1639" s="1509"/>
      <c r="N1639" s="1509"/>
      <c r="O1639" s="1509"/>
      <c r="P1639" s="1509"/>
      <c r="Q1639" s="1314"/>
      <c r="R1639" s="1314"/>
      <c r="S1639" s="1314"/>
      <c r="T1639" s="1314"/>
      <c r="U1639" s="1314"/>
      <c r="V1639" s="1314"/>
      <c r="W1639" s="1314"/>
      <c r="X1639" s="1314"/>
      <c r="Y1639" s="1314"/>
      <c r="Z1639" s="1314"/>
    </row>
    <row r="1640" spans="1:26" ht="18.75">
      <c r="A1640" s="1393"/>
      <c r="B1640" s="1393"/>
      <c r="C1640" s="1393"/>
      <c r="D1640" s="1506"/>
      <c r="E1640" s="1393"/>
      <c r="F1640" s="1393"/>
      <c r="G1640" s="1393"/>
      <c r="H1640" s="1507"/>
      <c r="I1640" s="1508"/>
      <c r="J1640" s="1508"/>
      <c r="K1640" s="1509"/>
      <c r="L1640" s="1509"/>
      <c r="M1640" s="1509"/>
      <c r="N1640" s="1509"/>
      <c r="O1640" s="1509"/>
      <c r="P1640" s="1509"/>
      <c r="Q1640" s="1314"/>
      <c r="R1640" s="1314"/>
      <c r="S1640" s="1314"/>
      <c r="T1640" s="1314"/>
      <c r="U1640" s="1314"/>
      <c r="V1640" s="1314"/>
      <c r="W1640" s="1314"/>
      <c r="X1640" s="1314"/>
      <c r="Y1640" s="1314"/>
      <c r="Z1640" s="1314"/>
    </row>
    <row r="1641" spans="1:26" ht="18.75">
      <c r="A1641" s="1393"/>
      <c r="B1641" s="1393"/>
      <c r="C1641" s="1393"/>
      <c r="D1641" s="1506"/>
      <c r="E1641" s="1393"/>
      <c r="F1641" s="1393"/>
      <c r="G1641" s="1393"/>
      <c r="H1641" s="1507"/>
      <c r="I1641" s="1508"/>
      <c r="J1641" s="1508"/>
      <c r="K1641" s="1509"/>
      <c r="L1641" s="1509"/>
      <c r="M1641" s="1509"/>
      <c r="N1641" s="1509"/>
      <c r="O1641" s="1509"/>
      <c r="P1641" s="1509"/>
      <c r="Q1641" s="1314"/>
      <c r="R1641" s="1314"/>
      <c r="S1641" s="1314"/>
      <c r="T1641" s="1314"/>
      <c r="U1641" s="1314"/>
      <c r="V1641" s="1314"/>
      <c r="W1641" s="1314"/>
      <c r="X1641" s="1314"/>
      <c r="Y1641" s="1314"/>
      <c r="Z1641" s="1314"/>
    </row>
    <row r="1642" spans="1:26" ht="18.75">
      <c r="A1642" s="1393"/>
      <c r="B1642" s="1393"/>
      <c r="C1642" s="1393"/>
      <c r="D1642" s="1506"/>
      <c r="E1642" s="1393"/>
      <c r="F1642" s="1393"/>
      <c r="G1642" s="1393"/>
      <c r="H1642" s="1507"/>
      <c r="I1642" s="1508"/>
      <c r="J1642" s="1508"/>
      <c r="K1642" s="1509"/>
      <c r="L1642" s="1509"/>
      <c r="M1642" s="1509"/>
      <c r="N1642" s="1509"/>
      <c r="O1642" s="1509"/>
      <c r="P1642" s="1509"/>
      <c r="Q1642" s="1314"/>
      <c r="R1642" s="1314"/>
      <c r="S1642" s="1314"/>
      <c r="T1642" s="1314"/>
      <c r="U1642" s="1314"/>
      <c r="V1642" s="1314"/>
      <c r="W1642" s="1314"/>
      <c r="X1642" s="1314"/>
      <c r="Y1642" s="1314"/>
      <c r="Z1642" s="1314"/>
    </row>
    <row r="1643" spans="1:26" ht="18.75">
      <c r="A1643" s="1393"/>
      <c r="B1643" s="1393"/>
      <c r="C1643" s="1393"/>
      <c r="D1643" s="1506"/>
      <c r="E1643" s="1393"/>
      <c r="F1643" s="1393"/>
      <c r="G1643" s="1393"/>
      <c r="H1643" s="1507"/>
      <c r="I1643" s="1508"/>
      <c r="J1643" s="1508"/>
      <c r="K1643" s="1509"/>
      <c r="L1643" s="1509"/>
      <c r="M1643" s="1509"/>
      <c r="N1643" s="1509"/>
      <c r="O1643" s="1509"/>
      <c r="P1643" s="1509"/>
      <c r="Q1643" s="1314"/>
      <c r="R1643" s="1314"/>
      <c r="S1643" s="1314"/>
      <c r="T1643" s="1314"/>
      <c r="U1643" s="1314"/>
      <c r="V1643" s="1314"/>
      <c r="W1643" s="1314"/>
      <c r="X1643" s="1314"/>
      <c r="Y1643" s="1314"/>
      <c r="Z1643" s="1314"/>
    </row>
    <row r="1644" spans="1:26" ht="18.75">
      <c r="A1644" s="1393"/>
      <c r="B1644" s="1393"/>
      <c r="C1644" s="1393"/>
      <c r="D1644" s="1506"/>
      <c r="E1644" s="1393"/>
      <c r="F1644" s="1393"/>
      <c r="G1644" s="1393"/>
      <c r="H1644" s="1507"/>
      <c r="I1644" s="1508"/>
      <c r="J1644" s="1508"/>
      <c r="K1644" s="1509"/>
      <c r="L1644" s="1509"/>
      <c r="M1644" s="1509"/>
      <c r="N1644" s="1509"/>
      <c r="O1644" s="1509"/>
      <c r="P1644" s="1509"/>
      <c r="Q1644" s="1314"/>
      <c r="R1644" s="1314"/>
      <c r="S1644" s="1314"/>
      <c r="T1644" s="1314"/>
      <c r="U1644" s="1314"/>
      <c r="V1644" s="1314"/>
      <c r="W1644" s="1314"/>
      <c r="X1644" s="1314"/>
      <c r="Y1644" s="1314"/>
      <c r="Z1644" s="1314"/>
    </row>
    <row r="1645" spans="1:26" ht="18.75">
      <c r="A1645" s="1393"/>
      <c r="B1645" s="1393"/>
      <c r="C1645" s="1393"/>
      <c r="D1645" s="1506"/>
      <c r="E1645" s="1393"/>
      <c r="F1645" s="1393"/>
      <c r="G1645" s="1393"/>
      <c r="H1645" s="1507"/>
      <c r="I1645" s="1508"/>
      <c r="J1645" s="1508"/>
      <c r="K1645" s="1509"/>
      <c r="L1645" s="1509"/>
      <c r="M1645" s="1509"/>
      <c r="N1645" s="1509"/>
      <c r="O1645" s="1509"/>
      <c r="P1645" s="1509"/>
      <c r="Q1645" s="1314"/>
      <c r="R1645" s="1314"/>
      <c r="S1645" s="1314"/>
      <c r="T1645" s="1314"/>
      <c r="U1645" s="1314"/>
      <c r="V1645" s="1314"/>
      <c r="W1645" s="1314"/>
      <c r="X1645" s="1314"/>
      <c r="Y1645" s="1314"/>
      <c r="Z1645" s="1314"/>
    </row>
    <row r="1646" spans="1:26" ht="18.75">
      <c r="A1646" s="1393"/>
      <c r="B1646" s="1393"/>
      <c r="C1646" s="1393"/>
      <c r="D1646" s="1506"/>
      <c r="E1646" s="1393"/>
      <c r="F1646" s="1393"/>
      <c r="G1646" s="1393"/>
      <c r="H1646" s="1507"/>
      <c r="I1646" s="1508"/>
      <c r="J1646" s="1508"/>
      <c r="K1646" s="1509"/>
      <c r="L1646" s="1509"/>
      <c r="M1646" s="1509"/>
      <c r="N1646" s="1509"/>
      <c r="O1646" s="1509"/>
      <c r="P1646" s="1509"/>
      <c r="Q1646" s="1314"/>
      <c r="R1646" s="1314"/>
      <c r="S1646" s="1314"/>
      <c r="T1646" s="1314"/>
      <c r="U1646" s="1314"/>
      <c r="V1646" s="1314"/>
      <c r="W1646" s="1314"/>
      <c r="X1646" s="1314"/>
      <c r="Y1646" s="1314"/>
      <c r="Z1646" s="1314"/>
    </row>
    <row r="1647" spans="1:26" ht="18.75">
      <c r="A1647" s="1393"/>
      <c r="B1647" s="1393"/>
      <c r="C1647" s="1393"/>
      <c r="D1647" s="1506"/>
      <c r="E1647" s="1393"/>
      <c r="F1647" s="1393"/>
      <c r="G1647" s="1393"/>
      <c r="H1647" s="1507"/>
      <c r="I1647" s="1508"/>
      <c r="J1647" s="1508"/>
      <c r="K1647" s="1509"/>
      <c r="L1647" s="1509"/>
      <c r="M1647" s="1509"/>
      <c r="N1647" s="1509"/>
      <c r="O1647" s="1509"/>
      <c r="P1647" s="1509"/>
      <c r="Q1647" s="1314"/>
      <c r="R1647" s="1314"/>
      <c r="S1647" s="1314"/>
      <c r="T1647" s="1314"/>
      <c r="U1647" s="1314"/>
      <c r="V1647" s="1314"/>
      <c r="W1647" s="1314"/>
      <c r="X1647" s="1314"/>
      <c r="Y1647" s="1314"/>
      <c r="Z1647" s="1314"/>
    </row>
    <row r="1648" spans="1:26" ht="18.75">
      <c r="A1648" s="1393"/>
      <c r="B1648" s="1393"/>
      <c r="C1648" s="1393"/>
      <c r="D1648" s="1506"/>
      <c r="E1648" s="1393"/>
      <c r="F1648" s="1393"/>
      <c r="G1648" s="1393"/>
      <c r="H1648" s="1507"/>
      <c r="I1648" s="1508"/>
      <c r="J1648" s="1508"/>
      <c r="K1648" s="1509"/>
      <c r="L1648" s="1509"/>
      <c r="M1648" s="1509"/>
      <c r="N1648" s="1509"/>
      <c r="O1648" s="1509"/>
      <c r="P1648" s="1509"/>
      <c r="Q1648" s="1314"/>
      <c r="R1648" s="1314"/>
      <c r="S1648" s="1314"/>
      <c r="T1648" s="1314"/>
      <c r="U1648" s="1314"/>
      <c r="V1648" s="1314"/>
      <c r="W1648" s="1314"/>
      <c r="X1648" s="1314"/>
      <c r="Y1648" s="1314"/>
      <c r="Z1648" s="1314"/>
    </row>
    <row r="1649" spans="1:26" ht="18.75">
      <c r="A1649" s="1393"/>
      <c r="B1649" s="1393"/>
      <c r="C1649" s="1393"/>
      <c r="D1649" s="1506"/>
      <c r="E1649" s="1393"/>
      <c r="F1649" s="1393"/>
      <c r="G1649" s="1393"/>
      <c r="H1649" s="1507"/>
      <c r="I1649" s="1508"/>
      <c r="J1649" s="1508"/>
      <c r="K1649" s="1509"/>
      <c r="L1649" s="1509"/>
      <c r="M1649" s="1509"/>
      <c r="N1649" s="1509"/>
      <c r="O1649" s="1509"/>
      <c r="P1649" s="1509"/>
      <c r="Q1649" s="1314"/>
      <c r="R1649" s="1314"/>
      <c r="S1649" s="1314"/>
      <c r="T1649" s="1314"/>
      <c r="U1649" s="1314"/>
      <c r="V1649" s="1314"/>
      <c r="W1649" s="1314"/>
      <c r="X1649" s="1314"/>
      <c r="Y1649" s="1314"/>
      <c r="Z1649" s="1314"/>
    </row>
    <row r="1650" spans="1:26" ht="18.75">
      <c r="A1650" s="1393"/>
      <c r="B1650" s="1393"/>
      <c r="C1650" s="1393"/>
      <c r="D1650" s="1506"/>
      <c r="E1650" s="1393"/>
      <c r="F1650" s="1393"/>
      <c r="G1650" s="1393"/>
      <c r="H1650" s="1507"/>
      <c r="I1650" s="1508"/>
      <c r="J1650" s="1508"/>
      <c r="K1650" s="1509"/>
      <c r="L1650" s="1509"/>
      <c r="M1650" s="1509"/>
      <c r="N1650" s="1509"/>
      <c r="O1650" s="1509"/>
      <c r="P1650" s="1509"/>
      <c r="Q1650" s="1314"/>
      <c r="R1650" s="1314"/>
      <c r="S1650" s="1314"/>
      <c r="T1650" s="1314"/>
      <c r="U1650" s="1314"/>
      <c r="V1650" s="1314"/>
      <c r="W1650" s="1314"/>
      <c r="X1650" s="1314"/>
      <c r="Y1650" s="1314"/>
      <c r="Z1650" s="1314"/>
    </row>
    <row r="1651" spans="1:26" ht="18.75">
      <c r="A1651" s="1393"/>
      <c r="B1651" s="1393"/>
      <c r="C1651" s="1393"/>
      <c r="D1651" s="1506"/>
      <c r="E1651" s="1393"/>
      <c r="F1651" s="1393"/>
      <c r="G1651" s="1393"/>
      <c r="H1651" s="1507"/>
      <c r="I1651" s="1508"/>
      <c r="J1651" s="1508"/>
      <c r="K1651" s="1509"/>
      <c r="L1651" s="1509"/>
      <c r="M1651" s="1509"/>
      <c r="N1651" s="1509"/>
      <c r="O1651" s="1509"/>
      <c r="P1651" s="1509"/>
      <c r="Q1651" s="1314"/>
      <c r="R1651" s="1314"/>
      <c r="S1651" s="1314"/>
      <c r="T1651" s="1314"/>
      <c r="U1651" s="1314"/>
      <c r="V1651" s="1314"/>
      <c r="W1651" s="1314"/>
      <c r="X1651" s="1314"/>
      <c r="Y1651" s="1314"/>
      <c r="Z1651" s="1314"/>
    </row>
    <row r="1652" spans="1:26" ht="18.75">
      <c r="A1652" s="1393"/>
      <c r="B1652" s="1393"/>
      <c r="C1652" s="1393"/>
      <c r="D1652" s="1506"/>
      <c r="E1652" s="1393"/>
      <c r="F1652" s="1393"/>
      <c r="G1652" s="1393"/>
      <c r="H1652" s="1507"/>
      <c r="I1652" s="1508"/>
      <c r="J1652" s="1508"/>
      <c r="K1652" s="1509"/>
      <c r="L1652" s="1509"/>
      <c r="M1652" s="1509"/>
      <c r="N1652" s="1509"/>
      <c r="O1652" s="1509"/>
      <c r="P1652" s="1509"/>
      <c r="Q1652" s="1314"/>
      <c r="R1652" s="1314"/>
      <c r="S1652" s="1314"/>
      <c r="T1652" s="1314"/>
      <c r="U1652" s="1314"/>
      <c r="V1652" s="1314"/>
      <c r="W1652" s="1314"/>
      <c r="X1652" s="1314"/>
      <c r="Y1652" s="1314"/>
      <c r="Z1652" s="1314"/>
    </row>
    <row r="1653" spans="1:26" ht="18.75">
      <c r="A1653" s="1393"/>
      <c r="B1653" s="1393"/>
      <c r="C1653" s="1393"/>
      <c r="D1653" s="1506"/>
      <c r="E1653" s="1393"/>
      <c r="F1653" s="1393"/>
      <c r="G1653" s="1393"/>
      <c r="H1653" s="1507"/>
      <c r="I1653" s="1508"/>
      <c r="J1653" s="1508"/>
      <c r="K1653" s="1509"/>
      <c r="L1653" s="1509"/>
      <c r="M1653" s="1509"/>
      <c r="N1653" s="1509"/>
      <c r="O1653" s="1509"/>
      <c r="P1653" s="1509"/>
      <c r="Q1653" s="1314"/>
      <c r="R1653" s="1314"/>
      <c r="S1653" s="1314"/>
      <c r="T1653" s="1314"/>
      <c r="U1653" s="1314"/>
      <c r="V1653" s="1314"/>
      <c r="W1653" s="1314"/>
      <c r="X1653" s="1314"/>
      <c r="Y1653" s="1314"/>
      <c r="Z1653" s="1314"/>
    </row>
    <row r="1654" spans="1:26" ht="18.75">
      <c r="A1654" s="1393"/>
      <c r="B1654" s="1393"/>
      <c r="C1654" s="1393"/>
      <c r="D1654" s="1506"/>
      <c r="E1654" s="1393"/>
      <c r="F1654" s="1393"/>
      <c r="G1654" s="1393"/>
      <c r="H1654" s="1507"/>
      <c r="I1654" s="1508"/>
      <c r="J1654" s="1508"/>
      <c r="K1654" s="1509"/>
      <c r="L1654" s="1509"/>
      <c r="M1654" s="1509"/>
      <c r="N1654" s="1509"/>
      <c r="O1654" s="1509"/>
      <c r="P1654" s="1509"/>
      <c r="Q1654" s="1314"/>
      <c r="R1654" s="1314"/>
      <c r="S1654" s="1314"/>
      <c r="T1654" s="1314"/>
      <c r="U1654" s="1314"/>
      <c r="V1654" s="1314"/>
      <c r="W1654" s="1314"/>
      <c r="X1654" s="1314"/>
      <c r="Y1654" s="1314"/>
      <c r="Z1654" s="1314"/>
    </row>
    <row r="1655" spans="1:26" ht="18.75">
      <c r="A1655" s="1393"/>
      <c r="B1655" s="1393"/>
      <c r="C1655" s="1393"/>
      <c r="D1655" s="1506"/>
      <c r="E1655" s="1393"/>
      <c r="F1655" s="1393"/>
      <c r="G1655" s="1393"/>
      <c r="H1655" s="1507"/>
      <c r="I1655" s="1508"/>
      <c r="J1655" s="1508"/>
      <c r="K1655" s="1509"/>
      <c r="L1655" s="1509"/>
      <c r="M1655" s="1509"/>
      <c r="N1655" s="1509"/>
      <c r="O1655" s="1509"/>
      <c r="P1655" s="1509"/>
      <c r="Q1655" s="1314"/>
      <c r="R1655" s="1314"/>
      <c r="S1655" s="1314"/>
      <c r="T1655" s="1314"/>
      <c r="U1655" s="1314"/>
      <c r="V1655" s="1314"/>
      <c r="W1655" s="1314"/>
      <c r="X1655" s="1314"/>
      <c r="Y1655" s="1314"/>
      <c r="Z1655" s="1314"/>
    </row>
    <row r="1656" spans="1:26" ht="18.75">
      <c r="A1656" s="1393"/>
      <c r="B1656" s="1393"/>
      <c r="C1656" s="1393"/>
      <c r="D1656" s="1506"/>
      <c r="E1656" s="1393"/>
      <c r="F1656" s="1393"/>
      <c r="G1656" s="1393"/>
      <c r="H1656" s="1507"/>
      <c r="I1656" s="1508"/>
      <c r="J1656" s="1508"/>
      <c r="K1656" s="1509"/>
      <c r="L1656" s="1509"/>
      <c r="M1656" s="1509"/>
      <c r="N1656" s="1509"/>
      <c r="O1656" s="1509"/>
      <c r="P1656" s="1509"/>
      <c r="Q1656" s="1314"/>
      <c r="R1656" s="1314"/>
      <c r="S1656" s="1314"/>
      <c r="T1656" s="1314"/>
      <c r="U1656" s="1314"/>
      <c r="V1656" s="1314"/>
      <c r="W1656" s="1314"/>
      <c r="X1656" s="1314"/>
      <c r="Y1656" s="1314"/>
      <c r="Z1656" s="1314"/>
    </row>
    <row r="1657" spans="1:26" ht="18.75">
      <c r="A1657" s="1393"/>
      <c r="B1657" s="1393"/>
      <c r="C1657" s="1393"/>
      <c r="D1657" s="1506"/>
      <c r="E1657" s="1393"/>
      <c r="F1657" s="1393"/>
      <c r="G1657" s="1393"/>
      <c r="H1657" s="1507"/>
      <c r="I1657" s="1508"/>
      <c r="J1657" s="1508"/>
      <c r="K1657" s="1509"/>
      <c r="L1657" s="1509"/>
      <c r="M1657" s="1509"/>
      <c r="N1657" s="1509"/>
      <c r="O1657" s="1509"/>
      <c r="P1657" s="1509"/>
      <c r="Q1657" s="1314"/>
      <c r="R1657" s="1314"/>
      <c r="S1657" s="1314"/>
      <c r="T1657" s="1314"/>
      <c r="U1657" s="1314"/>
      <c r="V1657" s="1314"/>
      <c r="W1657" s="1314"/>
      <c r="X1657" s="1314"/>
      <c r="Y1657" s="1314"/>
      <c r="Z1657" s="1314"/>
    </row>
    <row r="1658" spans="1:26" ht="18.75">
      <c r="A1658" s="1393"/>
      <c r="B1658" s="1393"/>
      <c r="C1658" s="1393"/>
      <c r="D1658" s="1506"/>
      <c r="E1658" s="1393"/>
      <c r="F1658" s="1393"/>
      <c r="G1658" s="1393"/>
      <c r="H1658" s="1507"/>
      <c r="I1658" s="1508"/>
      <c r="J1658" s="1508"/>
      <c r="K1658" s="1509"/>
      <c r="L1658" s="1509"/>
      <c r="M1658" s="1509"/>
      <c r="N1658" s="1509"/>
      <c r="O1658" s="1509"/>
      <c r="P1658" s="1509"/>
      <c r="Q1658" s="1314"/>
      <c r="R1658" s="1314"/>
      <c r="S1658" s="1314"/>
      <c r="T1658" s="1314"/>
      <c r="U1658" s="1314"/>
      <c r="V1658" s="1314"/>
      <c r="W1658" s="1314"/>
      <c r="X1658" s="1314"/>
      <c r="Y1658" s="1314"/>
      <c r="Z1658" s="1314"/>
    </row>
    <row r="1659" spans="1:26" ht="18.75">
      <c r="A1659" s="1393"/>
      <c r="B1659" s="1393"/>
      <c r="C1659" s="1393"/>
      <c r="D1659" s="1506"/>
      <c r="E1659" s="1393"/>
      <c r="F1659" s="1393"/>
      <c r="G1659" s="1393"/>
      <c r="H1659" s="1507"/>
      <c r="I1659" s="1508"/>
      <c r="J1659" s="1508"/>
      <c r="K1659" s="1509"/>
      <c r="L1659" s="1509"/>
      <c r="M1659" s="1509"/>
      <c r="N1659" s="1509"/>
      <c r="O1659" s="1509"/>
      <c r="P1659" s="1509"/>
      <c r="Q1659" s="1314"/>
      <c r="R1659" s="1314"/>
      <c r="S1659" s="1314"/>
      <c r="T1659" s="1314"/>
      <c r="U1659" s="1314"/>
      <c r="V1659" s="1314"/>
      <c r="W1659" s="1314"/>
      <c r="X1659" s="1314"/>
      <c r="Y1659" s="1314"/>
      <c r="Z1659" s="1314"/>
    </row>
    <row r="1660" spans="1:26" ht="18.75">
      <c r="A1660" s="1393"/>
      <c r="B1660" s="1393"/>
      <c r="C1660" s="1393"/>
      <c r="D1660" s="1506"/>
      <c r="E1660" s="1393"/>
      <c r="F1660" s="1393"/>
      <c r="G1660" s="1393"/>
      <c r="H1660" s="1507"/>
      <c r="I1660" s="1508"/>
      <c r="J1660" s="1508"/>
      <c r="K1660" s="1509"/>
      <c r="L1660" s="1509"/>
      <c r="M1660" s="1509"/>
      <c r="N1660" s="1509"/>
      <c r="O1660" s="1509"/>
      <c r="P1660" s="1509"/>
      <c r="Q1660" s="1314"/>
      <c r="R1660" s="1314"/>
      <c r="S1660" s="1314"/>
      <c r="T1660" s="1314"/>
      <c r="U1660" s="1314"/>
      <c r="V1660" s="1314"/>
      <c r="W1660" s="1314"/>
      <c r="X1660" s="1314"/>
      <c r="Y1660" s="1314"/>
      <c r="Z1660" s="1314"/>
    </row>
    <row r="1661" spans="1:26" ht="18.75">
      <c r="A1661" s="1393"/>
      <c r="B1661" s="1393"/>
      <c r="C1661" s="1393"/>
      <c r="D1661" s="1506"/>
      <c r="E1661" s="1393"/>
      <c r="F1661" s="1393"/>
      <c r="G1661" s="1393"/>
      <c r="H1661" s="1507"/>
      <c r="I1661" s="1508"/>
      <c r="J1661" s="1508"/>
      <c r="K1661" s="1509"/>
      <c r="L1661" s="1509"/>
      <c r="M1661" s="1509"/>
      <c r="N1661" s="1509"/>
      <c r="O1661" s="1509"/>
      <c r="P1661" s="1509"/>
      <c r="Q1661" s="1314"/>
      <c r="R1661" s="1314"/>
      <c r="S1661" s="1314"/>
      <c r="T1661" s="1314"/>
      <c r="U1661" s="1314"/>
      <c r="V1661" s="1314"/>
      <c r="W1661" s="1314"/>
      <c r="X1661" s="1314"/>
      <c r="Y1661" s="1314"/>
      <c r="Z1661" s="1314"/>
    </row>
    <row r="1662" spans="1:26" ht="18.75">
      <c r="A1662" s="1393"/>
      <c r="B1662" s="1393"/>
      <c r="C1662" s="1393"/>
      <c r="D1662" s="1506"/>
      <c r="E1662" s="1393"/>
      <c r="F1662" s="1393"/>
      <c r="G1662" s="1393"/>
      <c r="H1662" s="1507"/>
      <c r="I1662" s="1508"/>
      <c r="J1662" s="1508"/>
      <c r="K1662" s="1509"/>
      <c r="L1662" s="1509"/>
      <c r="M1662" s="1509"/>
      <c r="N1662" s="1509"/>
      <c r="O1662" s="1509"/>
      <c r="P1662" s="1509"/>
      <c r="Q1662" s="1314"/>
      <c r="R1662" s="1314"/>
      <c r="S1662" s="1314"/>
      <c r="T1662" s="1314"/>
      <c r="U1662" s="1314"/>
      <c r="V1662" s="1314"/>
      <c r="W1662" s="1314"/>
      <c r="X1662" s="1314"/>
      <c r="Y1662" s="1314"/>
      <c r="Z1662" s="1314"/>
    </row>
    <row r="1663" spans="1:26" ht="18.75">
      <c r="A1663" s="1393"/>
      <c r="B1663" s="1393"/>
      <c r="C1663" s="1393"/>
      <c r="D1663" s="1506"/>
      <c r="E1663" s="1393"/>
      <c r="F1663" s="1393"/>
      <c r="G1663" s="1393"/>
      <c r="H1663" s="1507"/>
      <c r="I1663" s="1508"/>
      <c r="J1663" s="1508"/>
      <c r="K1663" s="1509"/>
      <c r="L1663" s="1509"/>
      <c r="M1663" s="1509"/>
      <c r="N1663" s="1509"/>
      <c r="O1663" s="1509"/>
      <c r="P1663" s="1509"/>
      <c r="Q1663" s="1314"/>
      <c r="R1663" s="1314"/>
      <c r="S1663" s="1314"/>
      <c r="T1663" s="1314"/>
      <c r="U1663" s="1314"/>
      <c r="V1663" s="1314"/>
      <c r="W1663" s="1314"/>
      <c r="X1663" s="1314"/>
      <c r="Y1663" s="1314"/>
      <c r="Z1663" s="1314"/>
    </row>
    <row r="1664" spans="1:26" ht="18.75">
      <c r="A1664" s="1393"/>
      <c r="B1664" s="1393"/>
      <c r="C1664" s="1393"/>
      <c r="D1664" s="1506"/>
      <c r="E1664" s="1393"/>
      <c r="F1664" s="1393"/>
      <c r="G1664" s="1393"/>
      <c r="H1664" s="1507"/>
      <c r="I1664" s="1508"/>
      <c r="J1664" s="1508"/>
      <c r="K1664" s="1509"/>
      <c r="L1664" s="1509"/>
      <c r="M1664" s="1509"/>
      <c r="N1664" s="1509"/>
      <c r="O1664" s="1509"/>
      <c r="P1664" s="1509"/>
      <c r="Q1664" s="1314"/>
      <c r="R1664" s="1314"/>
      <c r="S1664" s="1314"/>
      <c r="T1664" s="1314"/>
      <c r="U1664" s="1314"/>
      <c r="V1664" s="1314"/>
      <c r="W1664" s="1314"/>
      <c r="X1664" s="1314"/>
      <c r="Y1664" s="1314"/>
      <c r="Z1664" s="1314"/>
    </row>
    <row r="1665" spans="1:26" ht="18.75">
      <c r="A1665" s="1393"/>
      <c r="B1665" s="1393"/>
      <c r="C1665" s="1393"/>
      <c r="D1665" s="1506"/>
      <c r="E1665" s="1393"/>
      <c r="F1665" s="1393"/>
      <c r="G1665" s="1393"/>
      <c r="H1665" s="1507"/>
      <c r="I1665" s="1508"/>
      <c r="J1665" s="1508"/>
      <c r="K1665" s="1509"/>
      <c r="L1665" s="1509"/>
      <c r="M1665" s="1509"/>
      <c r="N1665" s="1509"/>
      <c r="O1665" s="1509"/>
      <c r="P1665" s="1509"/>
      <c r="Q1665" s="1314"/>
      <c r="R1665" s="1314"/>
      <c r="S1665" s="1314"/>
      <c r="T1665" s="1314"/>
      <c r="U1665" s="1314"/>
      <c r="V1665" s="1314"/>
      <c r="W1665" s="1314"/>
      <c r="X1665" s="1314"/>
      <c r="Y1665" s="1314"/>
      <c r="Z1665" s="1314"/>
    </row>
    <row r="1666" spans="1:26" ht="18.75">
      <c r="A1666" s="1393"/>
      <c r="B1666" s="1393"/>
      <c r="C1666" s="1393"/>
      <c r="D1666" s="1506"/>
      <c r="E1666" s="1393"/>
      <c r="F1666" s="1393"/>
      <c r="G1666" s="1393"/>
      <c r="H1666" s="1507"/>
      <c r="I1666" s="1508"/>
      <c r="J1666" s="1508"/>
      <c r="K1666" s="1509"/>
      <c r="L1666" s="1509"/>
      <c r="M1666" s="1509"/>
      <c r="N1666" s="1509"/>
      <c r="O1666" s="1509"/>
      <c r="P1666" s="1509"/>
      <c r="Q1666" s="1314"/>
      <c r="R1666" s="1314"/>
      <c r="S1666" s="1314"/>
      <c r="T1666" s="1314"/>
      <c r="U1666" s="1314"/>
      <c r="V1666" s="1314"/>
      <c r="W1666" s="1314"/>
      <c r="X1666" s="1314"/>
      <c r="Y1666" s="1314"/>
      <c r="Z1666" s="1314"/>
    </row>
    <row r="1667" spans="1:26" ht="18.75">
      <c r="A1667" s="1393"/>
      <c r="B1667" s="1393"/>
      <c r="C1667" s="1393"/>
      <c r="D1667" s="1506"/>
      <c r="E1667" s="1393"/>
      <c r="F1667" s="1393"/>
      <c r="G1667" s="1393"/>
      <c r="H1667" s="1507"/>
      <c r="I1667" s="1508"/>
      <c r="J1667" s="1508"/>
      <c r="K1667" s="1509"/>
      <c r="L1667" s="1509"/>
      <c r="M1667" s="1509"/>
      <c r="N1667" s="1509"/>
      <c r="O1667" s="1509"/>
      <c r="P1667" s="1509"/>
      <c r="Q1667" s="1314"/>
      <c r="R1667" s="1314"/>
      <c r="S1667" s="1314"/>
      <c r="T1667" s="1314"/>
      <c r="U1667" s="1314"/>
      <c r="V1667" s="1314"/>
      <c r="W1667" s="1314"/>
      <c r="X1667" s="1314"/>
      <c r="Y1667" s="1314"/>
      <c r="Z1667" s="1314"/>
    </row>
    <row r="1668" spans="1:26" ht="18.75">
      <c r="A1668" s="1393"/>
      <c r="B1668" s="1393"/>
      <c r="C1668" s="1393"/>
      <c r="D1668" s="1506"/>
      <c r="E1668" s="1393"/>
      <c r="F1668" s="1393"/>
      <c r="G1668" s="1393"/>
      <c r="H1668" s="1507"/>
      <c r="I1668" s="1508"/>
      <c r="J1668" s="1508"/>
      <c r="K1668" s="1509"/>
      <c r="L1668" s="1509"/>
      <c r="M1668" s="1509"/>
      <c r="N1668" s="1509"/>
      <c r="O1668" s="1509"/>
      <c r="P1668" s="1509"/>
      <c r="Q1668" s="1314"/>
      <c r="R1668" s="1314"/>
      <c r="S1668" s="1314"/>
      <c r="T1668" s="1314"/>
      <c r="U1668" s="1314"/>
      <c r="V1668" s="1314"/>
      <c r="W1668" s="1314"/>
      <c r="X1668" s="1314"/>
      <c r="Y1668" s="1314"/>
      <c r="Z1668" s="1314"/>
    </row>
    <row r="1669" spans="1:26" ht="18.75">
      <c r="A1669" s="1393"/>
      <c r="B1669" s="1393"/>
      <c r="C1669" s="1393"/>
      <c r="D1669" s="1506"/>
      <c r="E1669" s="1393"/>
      <c r="F1669" s="1393"/>
      <c r="G1669" s="1393"/>
      <c r="H1669" s="1507"/>
      <c r="I1669" s="1508"/>
      <c r="J1669" s="1508"/>
      <c r="K1669" s="1509"/>
      <c r="L1669" s="1509"/>
      <c r="M1669" s="1509"/>
      <c r="N1669" s="1509"/>
      <c r="O1669" s="1509"/>
      <c r="P1669" s="1509"/>
      <c r="Q1669" s="1314"/>
      <c r="R1669" s="1314"/>
      <c r="S1669" s="1314"/>
      <c r="T1669" s="1314"/>
      <c r="U1669" s="1314"/>
      <c r="V1669" s="1314"/>
      <c r="W1669" s="1314"/>
      <c r="X1669" s="1314"/>
      <c r="Y1669" s="1314"/>
      <c r="Z1669" s="1314"/>
    </row>
    <row r="1670" spans="1:26" ht="18.75">
      <c r="A1670" s="1393"/>
      <c r="B1670" s="1393"/>
      <c r="C1670" s="1393"/>
      <c r="D1670" s="1506"/>
      <c r="E1670" s="1393"/>
      <c r="F1670" s="1393"/>
      <c r="G1670" s="1393"/>
      <c r="H1670" s="1507"/>
      <c r="I1670" s="1508"/>
      <c r="J1670" s="1508"/>
      <c r="K1670" s="1509"/>
      <c r="L1670" s="1509"/>
      <c r="M1670" s="1509"/>
      <c r="N1670" s="1509"/>
      <c r="O1670" s="1509"/>
      <c r="P1670" s="1509"/>
      <c r="Q1670" s="1314"/>
      <c r="R1670" s="1314"/>
      <c r="S1670" s="1314"/>
      <c r="T1670" s="1314"/>
      <c r="U1670" s="1314"/>
      <c r="V1670" s="1314"/>
      <c r="W1670" s="1314"/>
      <c r="X1670" s="1314"/>
      <c r="Y1670" s="1314"/>
      <c r="Z1670" s="1314"/>
    </row>
    <row r="1671" spans="1:26" ht="18.75">
      <c r="A1671" s="1393"/>
      <c r="B1671" s="1393"/>
      <c r="C1671" s="1393"/>
      <c r="D1671" s="1506"/>
      <c r="E1671" s="1393"/>
      <c r="F1671" s="1393"/>
      <c r="G1671" s="1393"/>
      <c r="H1671" s="1507"/>
      <c r="I1671" s="1508"/>
      <c r="J1671" s="1508"/>
      <c r="K1671" s="1509"/>
      <c r="L1671" s="1509"/>
      <c r="M1671" s="1509"/>
      <c r="N1671" s="1509"/>
      <c r="O1671" s="1509"/>
      <c r="P1671" s="1509"/>
      <c r="Q1671" s="1314"/>
      <c r="R1671" s="1314"/>
      <c r="S1671" s="1314"/>
      <c r="T1671" s="1314"/>
      <c r="U1671" s="1314"/>
      <c r="V1671" s="1314"/>
      <c r="W1671" s="1314"/>
      <c r="X1671" s="1314"/>
      <c r="Y1671" s="1314"/>
      <c r="Z1671" s="1314"/>
    </row>
    <row r="1672" spans="1:26" ht="18.75">
      <c r="A1672" s="1393"/>
      <c r="B1672" s="1393"/>
      <c r="C1672" s="1393"/>
      <c r="D1672" s="1506"/>
      <c r="E1672" s="1393"/>
      <c r="F1672" s="1393"/>
      <c r="G1672" s="1393"/>
      <c r="H1672" s="1507"/>
      <c r="I1672" s="1508"/>
      <c r="J1672" s="1508"/>
      <c r="K1672" s="1509"/>
      <c r="L1672" s="1509"/>
      <c r="M1672" s="1509"/>
      <c r="N1672" s="1509"/>
      <c r="O1672" s="1509"/>
      <c r="P1672" s="1509"/>
      <c r="Q1672" s="1314"/>
      <c r="R1672" s="1314"/>
      <c r="S1672" s="1314"/>
      <c r="T1672" s="1314"/>
      <c r="U1672" s="1314"/>
      <c r="V1672" s="1314"/>
      <c r="W1672" s="1314"/>
      <c r="X1672" s="1314"/>
      <c r="Y1672" s="1314"/>
      <c r="Z1672" s="1314"/>
    </row>
    <row r="1673" spans="1:26" ht="18.75">
      <c r="A1673" s="1393"/>
      <c r="B1673" s="1393"/>
      <c r="C1673" s="1393"/>
      <c r="D1673" s="1506"/>
      <c r="E1673" s="1393"/>
      <c r="F1673" s="1393"/>
      <c r="G1673" s="1393"/>
      <c r="H1673" s="1507"/>
      <c r="I1673" s="1508"/>
      <c r="J1673" s="1508"/>
      <c r="K1673" s="1509"/>
      <c r="L1673" s="1509"/>
      <c r="M1673" s="1509"/>
      <c r="N1673" s="1509"/>
      <c r="O1673" s="1509"/>
      <c r="P1673" s="1509"/>
      <c r="Q1673" s="1314"/>
      <c r="R1673" s="1314"/>
      <c r="S1673" s="1314"/>
      <c r="T1673" s="1314"/>
      <c r="U1673" s="1314"/>
      <c r="V1673" s="1314"/>
      <c r="W1673" s="1314"/>
      <c r="X1673" s="1314"/>
      <c r="Y1673" s="1314"/>
      <c r="Z1673" s="1314"/>
    </row>
    <row r="1674" spans="1:26" ht="18.75">
      <c r="A1674" s="1393"/>
      <c r="B1674" s="1393"/>
      <c r="C1674" s="1393"/>
      <c r="D1674" s="1506"/>
      <c r="E1674" s="1393"/>
      <c r="F1674" s="1393"/>
      <c r="G1674" s="1393"/>
      <c r="H1674" s="1507"/>
      <c r="I1674" s="1508"/>
      <c r="J1674" s="1508"/>
      <c r="K1674" s="1509"/>
      <c r="L1674" s="1509"/>
      <c r="M1674" s="1509"/>
      <c r="N1674" s="1509"/>
      <c r="O1674" s="1509"/>
      <c r="P1674" s="1509"/>
      <c r="Q1674" s="1314"/>
      <c r="R1674" s="1314"/>
      <c r="S1674" s="1314"/>
      <c r="T1674" s="1314"/>
      <c r="U1674" s="1314"/>
      <c r="V1674" s="1314"/>
      <c r="W1674" s="1314"/>
      <c r="X1674" s="1314"/>
      <c r="Y1674" s="1314"/>
      <c r="Z1674" s="1314"/>
    </row>
    <row r="1675" spans="1:26" ht="18.75">
      <c r="A1675" s="1393"/>
      <c r="B1675" s="1393"/>
      <c r="C1675" s="1393"/>
      <c r="D1675" s="1506"/>
      <c r="E1675" s="1393"/>
      <c r="F1675" s="1393"/>
      <c r="G1675" s="1393"/>
      <c r="H1675" s="1507"/>
      <c r="I1675" s="1508"/>
      <c r="J1675" s="1508"/>
      <c r="K1675" s="1509"/>
      <c r="L1675" s="1509"/>
      <c r="M1675" s="1509"/>
      <c r="N1675" s="1509"/>
      <c r="O1675" s="1509"/>
      <c r="P1675" s="1509"/>
      <c r="Q1675" s="1314"/>
      <c r="R1675" s="1314"/>
      <c r="S1675" s="1314"/>
      <c r="T1675" s="1314"/>
      <c r="U1675" s="1314"/>
      <c r="V1675" s="1314"/>
      <c r="W1675" s="1314"/>
      <c r="X1675" s="1314"/>
      <c r="Y1675" s="1314"/>
      <c r="Z1675" s="1314"/>
    </row>
    <row r="1676" spans="1:26" ht="18.75">
      <c r="A1676" s="1393"/>
      <c r="B1676" s="1393"/>
      <c r="C1676" s="1393"/>
      <c r="D1676" s="1506"/>
      <c r="E1676" s="1393"/>
      <c r="F1676" s="1393"/>
      <c r="G1676" s="1393"/>
      <c r="H1676" s="1507"/>
      <c r="I1676" s="1508"/>
      <c r="J1676" s="1508"/>
      <c r="K1676" s="1509"/>
      <c r="L1676" s="1509"/>
      <c r="M1676" s="1509"/>
      <c r="N1676" s="1509"/>
      <c r="O1676" s="1509"/>
      <c r="P1676" s="1509"/>
      <c r="Q1676" s="1314"/>
      <c r="R1676" s="1314"/>
      <c r="S1676" s="1314"/>
      <c r="T1676" s="1314"/>
      <c r="U1676" s="1314"/>
      <c r="V1676" s="1314"/>
      <c r="W1676" s="1314"/>
      <c r="X1676" s="1314"/>
      <c r="Y1676" s="1314"/>
      <c r="Z1676" s="1314"/>
    </row>
    <row r="1677" spans="1:26" ht="18.75">
      <c r="A1677" s="1393"/>
      <c r="B1677" s="1393"/>
      <c r="C1677" s="1393"/>
      <c r="D1677" s="1506"/>
      <c r="E1677" s="1393"/>
      <c r="F1677" s="1393"/>
      <c r="G1677" s="1393"/>
      <c r="H1677" s="1507"/>
      <c r="I1677" s="1508"/>
      <c r="J1677" s="1508"/>
      <c r="K1677" s="1509"/>
      <c r="L1677" s="1509"/>
      <c r="M1677" s="1509"/>
      <c r="N1677" s="1509"/>
      <c r="O1677" s="1509"/>
      <c r="P1677" s="1509"/>
      <c r="Q1677" s="1314"/>
      <c r="R1677" s="1314"/>
      <c r="S1677" s="1314"/>
      <c r="T1677" s="1314"/>
      <c r="U1677" s="1314"/>
      <c r="V1677" s="1314"/>
      <c r="W1677" s="1314"/>
      <c r="X1677" s="1314"/>
      <c r="Y1677" s="1314"/>
      <c r="Z1677" s="1314"/>
    </row>
    <row r="1678" spans="1:26" ht="18.75">
      <c r="A1678" s="1393"/>
      <c r="B1678" s="1393"/>
      <c r="C1678" s="1393"/>
      <c r="D1678" s="1506"/>
      <c r="E1678" s="1393"/>
      <c r="F1678" s="1393"/>
      <c r="G1678" s="1393"/>
      <c r="H1678" s="1507"/>
      <c r="I1678" s="1508"/>
      <c r="J1678" s="1508"/>
      <c r="K1678" s="1509"/>
      <c r="L1678" s="1509"/>
      <c r="M1678" s="1509"/>
      <c r="N1678" s="1509"/>
      <c r="O1678" s="1509"/>
      <c r="P1678" s="1509"/>
      <c r="Q1678" s="1314"/>
      <c r="R1678" s="1314"/>
      <c r="S1678" s="1314"/>
      <c r="T1678" s="1314"/>
      <c r="U1678" s="1314"/>
      <c r="V1678" s="1314"/>
      <c r="W1678" s="1314"/>
      <c r="X1678" s="1314"/>
      <c r="Y1678" s="1314"/>
      <c r="Z1678" s="1314"/>
    </row>
    <row r="1679" spans="1:26" ht="18.75">
      <c r="A1679" s="1393"/>
      <c r="B1679" s="1393"/>
      <c r="C1679" s="1393"/>
      <c r="D1679" s="1506"/>
      <c r="E1679" s="1393"/>
      <c r="F1679" s="1393"/>
      <c r="G1679" s="1393"/>
      <c r="H1679" s="1507"/>
      <c r="I1679" s="1508"/>
      <c r="J1679" s="1508"/>
      <c r="K1679" s="1509"/>
      <c r="L1679" s="1509"/>
      <c r="M1679" s="1509"/>
      <c r="N1679" s="1509"/>
      <c r="O1679" s="1509"/>
      <c r="P1679" s="1509"/>
      <c r="Q1679" s="1314"/>
      <c r="R1679" s="1314"/>
      <c r="S1679" s="1314"/>
      <c r="T1679" s="1314"/>
      <c r="U1679" s="1314"/>
      <c r="V1679" s="1314"/>
      <c r="W1679" s="1314"/>
      <c r="X1679" s="1314"/>
      <c r="Y1679" s="1314"/>
      <c r="Z1679" s="1314"/>
    </row>
    <row r="1680" spans="1:26" ht="18.75">
      <c r="A1680" s="1393"/>
      <c r="B1680" s="1393"/>
      <c r="C1680" s="1393"/>
      <c r="D1680" s="1506"/>
      <c r="E1680" s="1393"/>
      <c r="F1680" s="1393"/>
      <c r="G1680" s="1393"/>
      <c r="H1680" s="1507"/>
      <c r="I1680" s="1508"/>
      <c r="J1680" s="1508"/>
      <c r="K1680" s="1509"/>
      <c r="L1680" s="1509"/>
      <c r="M1680" s="1509"/>
      <c r="N1680" s="1509"/>
      <c r="O1680" s="1509"/>
      <c r="P1680" s="1509"/>
      <c r="Q1680" s="1314"/>
      <c r="R1680" s="1314"/>
      <c r="S1680" s="1314"/>
      <c r="T1680" s="1314"/>
      <c r="U1680" s="1314"/>
      <c r="V1680" s="1314"/>
      <c r="W1680" s="1314"/>
      <c r="X1680" s="1314"/>
      <c r="Y1680" s="1314"/>
      <c r="Z1680" s="1314"/>
    </row>
    <row r="1681" spans="1:26" ht="18.75">
      <c r="A1681" s="1393"/>
      <c r="B1681" s="1393"/>
      <c r="C1681" s="1393"/>
      <c r="D1681" s="1506"/>
      <c r="E1681" s="1393"/>
      <c r="F1681" s="1393"/>
      <c r="G1681" s="1393"/>
      <c r="H1681" s="1507"/>
      <c r="I1681" s="1508"/>
      <c r="J1681" s="1508"/>
      <c r="K1681" s="1509"/>
      <c r="L1681" s="1509"/>
      <c r="M1681" s="1509"/>
      <c r="N1681" s="1509"/>
      <c r="O1681" s="1509"/>
      <c r="P1681" s="1509"/>
      <c r="Q1681" s="1314"/>
      <c r="R1681" s="1314"/>
      <c r="S1681" s="1314"/>
      <c r="T1681" s="1314"/>
      <c r="U1681" s="1314"/>
      <c r="V1681" s="1314"/>
      <c r="W1681" s="1314"/>
      <c r="X1681" s="1314"/>
      <c r="Y1681" s="1314"/>
      <c r="Z1681" s="1314"/>
    </row>
    <row r="1682" spans="1:26" ht="18.75">
      <c r="A1682" s="1393"/>
      <c r="B1682" s="1393"/>
      <c r="C1682" s="1393"/>
      <c r="D1682" s="1506"/>
      <c r="E1682" s="1393"/>
      <c r="F1682" s="1393"/>
      <c r="G1682" s="1393"/>
      <c r="H1682" s="1507"/>
      <c r="I1682" s="1508"/>
      <c r="J1682" s="1508"/>
      <c r="K1682" s="1509"/>
      <c r="L1682" s="1509"/>
      <c r="M1682" s="1509"/>
      <c r="N1682" s="1509"/>
      <c r="O1682" s="1509"/>
      <c r="P1682" s="1509"/>
      <c r="Q1682" s="1314"/>
      <c r="R1682" s="1314"/>
      <c r="S1682" s="1314"/>
      <c r="T1682" s="1314"/>
      <c r="U1682" s="1314"/>
      <c r="V1682" s="1314"/>
      <c r="W1682" s="1314"/>
      <c r="X1682" s="1314"/>
      <c r="Y1682" s="1314"/>
      <c r="Z1682" s="1314"/>
    </row>
    <row r="1683" spans="1:26" ht="18.75">
      <c r="A1683" s="1393"/>
      <c r="B1683" s="1393"/>
      <c r="C1683" s="1393"/>
      <c r="D1683" s="1506"/>
      <c r="E1683" s="1393"/>
      <c r="F1683" s="1393"/>
      <c r="G1683" s="1393"/>
      <c r="H1683" s="1507"/>
      <c r="I1683" s="1508"/>
      <c r="J1683" s="1508"/>
      <c r="K1683" s="1509"/>
      <c r="L1683" s="1509"/>
      <c r="M1683" s="1509"/>
      <c r="N1683" s="1509"/>
      <c r="O1683" s="1509"/>
      <c r="P1683" s="1509"/>
      <c r="Q1683" s="1314"/>
      <c r="R1683" s="1314"/>
      <c r="S1683" s="1314"/>
      <c r="T1683" s="1314"/>
      <c r="U1683" s="1314"/>
      <c r="V1683" s="1314"/>
      <c r="W1683" s="1314"/>
      <c r="X1683" s="1314"/>
      <c r="Y1683" s="1314"/>
      <c r="Z1683" s="1314"/>
    </row>
    <row r="1684" spans="1:26" ht="18.75">
      <c r="A1684" s="1393"/>
      <c r="B1684" s="1393"/>
      <c r="C1684" s="1393"/>
      <c r="D1684" s="1506"/>
      <c r="E1684" s="1393"/>
      <c r="F1684" s="1393"/>
      <c r="G1684" s="1393"/>
      <c r="H1684" s="1507"/>
      <c r="I1684" s="1508"/>
      <c r="J1684" s="1508"/>
      <c r="K1684" s="1509"/>
      <c r="L1684" s="1509"/>
      <c r="M1684" s="1509"/>
      <c r="N1684" s="1509"/>
      <c r="O1684" s="1509"/>
      <c r="P1684" s="1509"/>
      <c r="Q1684" s="1314"/>
      <c r="R1684" s="1314"/>
      <c r="S1684" s="1314"/>
      <c r="T1684" s="1314"/>
      <c r="U1684" s="1314"/>
      <c r="V1684" s="1314"/>
      <c r="W1684" s="1314"/>
      <c r="X1684" s="1314"/>
      <c r="Y1684" s="1314"/>
      <c r="Z1684" s="1314"/>
    </row>
    <row r="1685" spans="1:26" ht="18.75">
      <c r="A1685" s="1393"/>
      <c r="B1685" s="1393"/>
      <c r="C1685" s="1393"/>
      <c r="D1685" s="1506"/>
      <c r="E1685" s="1393"/>
      <c r="F1685" s="1393"/>
      <c r="G1685" s="1393"/>
      <c r="H1685" s="1507"/>
      <c r="I1685" s="1508"/>
      <c r="J1685" s="1508"/>
      <c r="K1685" s="1509"/>
      <c r="L1685" s="1509"/>
      <c r="M1685" s="1509"/>
      <c r="N1685" s="1509"/>
      <c r="O1685" s="1509"/>
      <c r="P1685" s="1509"/>
      <c r="Q1685" s="1314"/>
      <c r="R1685" s="1314"/>
      <c r="S1685" s="1314"/>
      <c r="T1685" s="1314"/>
      <c r="U1685" s="1314"/>
      <c r="V1685" s="1314"/>
      <c r="W1685" s="1314"/>
      <c r="X1685" s="1314"/>
      <c r="Y1685" s="1314"/>
      <c r="Z1685" s="1314"/>
    </row>
    <row r="1686" spans="1:26" ht="18.75">
      <c r="A1686" s="1393"/>
      <c r="B1686" s="1393"/>
      <c r="C1686" s="1393"/>
      <c r="D1686" s="1506"/>
      <c r="E1686" s="1393"/>
      <c r="F1686" s="1393"/>
      <c r="G1686" s="1393"/>
      <c r="H1686" s="1507"/>
      <c r="I1686" s="1508"/>
      <c r="J1686" s="1508"/>
      <c r="K1686" s="1509"/>
      <c r="L1686" s="1509"/>
      <c r="M1686" s="1509"/>
      <c r="N1686" s="1509"/>
      <c r="O1686" s="1509"/>
      <c r="P1686" s="1509"/>
      <c r="Q1686" s="1314"/>
      <c r="R1686" s="1314"/>
      <c r="S1686" s="1314"/>
      <c r="T1686" s="1314"/>
      <c r="U1686" s="1314"/>
      <c r="V1686" s="1314"/>
      <c r="W1686" s="1314"/>
      <c r="X1686" s="1314"/>
      <c r="Y1686" s="1314"/>
      <c r="Z1686" s="1314"/>
    </row>
    <row r="1687" spans="1:26" ht="18.75">
      <c r="A1687" s="1393"/>
      <c r="B1687" s="1393"/>
      <c r="C1687" s="1393"/>
      <c r="D1687" s="1506"/>
      <c r="E1687" s="1393"/>
      <c r="F1687" s="1393"/>
      <c r="G1687" s="1393"/>
      <c r="H1687" s="1507"/>
      <c r="I1687" s="1508"/>
      <c r="J1687" s="1508"/>
      <c r="K1687" s="1509"/>
      <c r="L1687" s="1509"/>
      <c r="M1687" s="1509"/>
      <c r="N1687" s="1509"/>
      <c r="O1687" s="1509"/>
      <c r="P1687" s="1509"/>
      <c r="Q1687" s="1314"/>
      <c r="R1687" s="1314"/>
      <c r="S1687" s="1314"/>
      <c r="T1687" s="1314"/>
      <c r="U1687" s="1314"/>
      <c r="V1687" s="1314"/>
      <c r="W1687" s="1314"/>
      <c r="X1687" s="1314"/>
      <c r="Y1687" s="1314"/>
      <c r="Z1687" s="1314"/>
    </row>
    <row r="1688" spans="1:26" ht="18.75">
      <c r="A1688" s="1393"/>
      <c r="B1688" s="1393"/>
      <c r="C1688" s="1393"/>
      <c r="D1688" s="1506"/>
      <c r="E1688" s="1393"/>
      <c r="F1688" s="1393"/>
      <c r="G1688" s="1393"/>
      <c r="H1688" s="1507"/>
      <c r="I1688" s="1508"/>
      <c r="J1688" s="1508"/>
      <c r="K1688" s="1509"/>
      <c r="L1688" s="1509"/>
      <c r="M1688" s="1509"/>
      <c r="N1688" s="1509"/>
      <c r="O1688" s="1509"/>
      <c r="P1688" s="1509"/>
      <c r="Q1688" s="1314"/>
      <c r="R1688" s="1314"/>
      <c r="S1688" s="1314"/>
      <c r="T1688" s="1314"/>
      <c r="U1688" s="1314"/>
      <c r="V1688" s="1314"/>
      <c r="W1688" s="1314"/>
      <c r="X1688" s="1314"/>
      <c r="Y1688" s="1314"/>
      <c r="Z1688" s="1314"/>
    </row>
    <row r="1689" spans="1:26" ht="18.75">
      <c r="A1689" s="1393"/>
      <c r="B1689" s="1393"/>
      <c r="C1689" s="1393"/>
      <c r="D1689" s="1506"/>
      <c r="E1689" s="1393"/>
      <c r="F1689" s="1393"/>
      <c r="G1689" s="1393"/>
      <c r="H1689" s="1507"/>
      <c r="I1689" s="1508"/>
      <c r="J1689" s="1508"/>
      <c r="K1689" s="1509"/>
      <c r="L1689" s="1509"/>
      <c r="M1689" s="1509"/>
      <c r="N1689" s="1509"/>
      <c r="O1689" s="1509"/>
      <c r="P1689" s="1509"/>
      <c r="Q1689" s="1314"/>
      <c r="R1689" s="1314"/>
      <c r="S1689" s="1314"/>
      <c r="T1689" s="1314"/>
      <c r="U1689" s="1314"/>
      <c r="V1689" s="1314"/>
      <c r="W1689" s="1314"/>
      <c r="X1689" s="1314"/>
      <c r="Y1689" s="1314"/>
      <c r="Z1689" s="1314"/>
    </row>
    <row r="1690" spans="1:26" ht="18.75">
      <c r="A1690" s="1393"/>
      <c r="B1690" s="1393"/>
      <c r="C1690" s="1393"/>
      <c r="D1690" s="1506"/>
      <c r="E1690" s="1393"/>
      <c r="F1690" s="1393"/>
      <c r="G1690" s="1393"/>
      <c r="H1690" s="1507"/>
      <c r="I1690" s="1508"/>
      <c r="J1690" s="1508"/>
      <c r="K1690" s="1509"/>
      <c r="L1690" s="1509"/>
      <c r="M1690" s="1509"/>
      <c r="N1690" s="1509"/>
      <c r="O1690" s="1509"/>
      <c r="P1690" s="1509"/>
      <c r="Q1690" s="1314"/>
      <c r="R1690" s="1314"/>
      <c r="S1690" s="1314"/>
      <c r="T1690" s="1314"/>
      <c r="U1690" s="1314"/>
      <c r="V1690" s="1314"/>
      <c r="W1690" s="1314"/>
      <c r="X1690" s="1314"/>
      <c r="Y1690" s="1314"/>
      <c r="Z1690" s="1314"/>
    </row>
    <row r="1691" spans="1:26" ht="18.75">
      <c r="A1691" s="1393"/>
      <c r="B1691" s="1393"/>
      <c r="C1691" s="1393"/>
      <c r="D1691" s="1506"/>
      <c r="E1691" s="1393"/>
      <c r="F1691" s="1393"/>
      <c r="G1691" s="1393"/>
      <c r="H1691" s="1507"/>
      <c r="I1691" s="1508"/>
      <c r="J1691" s="1508"/>
      <c r="K1691" s="1509"/>
      <c r="L1691" s="1509"/>
      <c r="M1691" s="1509"/>
      <c r="N1691" s="1509"/>
      <c r="O1691" s="1509"/>
      <c r="P1691" s="1509"/>
      <c r="Q1691" s="1314"/>
      <c r="R1691" s="1314"/>
      <c r="S1691" s="1314"/>
      <c r="T1691" s="1314"/>
      <c r="U1691" s="1314"/>
      <c r="V1691" s="1314"/>
      <c r="W1691" s="1314"/>
      <c r="X1691" s="1314"/>
      <c r="Y1691" s="1314"/>
      <c r="Z1691" s="1314"/>
    </row>
    <row r="1692" spans="1:26" ht="18.75">
      <c r="A1692" s="1393"/>
      <c r="B1692" s="1393"/>
      <c r="C1692" s="1393"/>
      <c r="D1692" s="1506"/>
      <c r="E1692" s="1393"/>
      <c r="F1692" s="1393"/>
      <c r="G1692" s="1393"/>
      <c r="H1692" s="1507"/>
      <c r="I1692" s="1508"/>
      <c r="J1692" s="1508"/>
      <c r="K1692" s="1509"/>
      <c r="L1692" s="1509"/>
      <c r="M1692" s="1509"/>
      <c r="N1692" s="1509"/>
      <c r="O1692" s="1509"/>
      <c r="P1692" s="1509"/>
      <c r="Q1692" s="1314"/>
      <c r="R1692" s="1314"/>
      <c r="S1692" s="1314"/>
      <c r="T1692" s="1314"/>
      <c r="U1692" s="1314"/>
      <c r="V1692" s="1314"/>
      <c r="W1692" s="1314"/>
      <c r="X1692" s="1314"/>
      <c r="Y1692" s="1314"/>
      <c r="Z1692" s="1314"/>
    </row>
    <row r="1693" spans="1:26" ht="18.75">
      <c r="A1693" s="1393"/>
      <c r="B1693" s="1393"/>
      <c r="C1693" s="1393"/>
      <c r="D1693" s="1506"/>
      <c r="E1693" s="1393"/>
      <c r="F1693" s="1393"/>
      <c r="G1693" s="1393"/>
      <c r="H1693" s="1507"/>
      <c r="I1693" s="1508"/>
      <c r="J1693" s="1508"/>
      <c r="K1693" s="1509"/>
      <c r="L1693" s="1509"/>
      <c r="M1693" s="1509"/>
      <c r="N1693" s="1509"/>
      <c r="O1693" s="1509"/>
      <c r="P1693" s="1509"/>
      <c r="Q1693" s="1314"/>
      <c r="R1693" s="1314"/>
      <c r="S1693" s="1314"/>
      <c r="T1693" s="1314"/>
      <c r="U1693" s="1314"/>
      <c r="V1693" s="1314"/>
      <c r="W1693" s="1314"/>
      <c r="X1693" s="1314"/>
      <c r="Y1693" s="1314"/>
      <c r="Z1693" s="1314"/>
    </row>
    <row r="1694" spans="1:26" ht="18.75">
      <c r="A1694" s="1393"/>
      <c r="B1694" s="1393"/>
      <c r="C1694" s="1393"/>
      <c r="D1694" s="1506"/>
      <c r="E1694" s="1393"/>
      <c r="F1694" s="1393"/>
      <c r="G1694" s="1393"/>
      <c r="H1694" s="1507"/>
      <c r="I1694" s="1508"/>
      <c r="J1694" s="1508"/>
      <c r="K1694" s="1509"/>
      <c r="L1694" s="1509"/>
      <c r="M1694" s="1509"/>
      <c r="N1694" s="1509"/>
      <c r="O1694" s="1509"/>
      <c r="P1694" s="1509"/>
      <c r="Q1694" s="1314"/>
      <c r="R1694" s="1314"/>
      <c r="S1694" s="1314"/>
      <c r="T1694" s="1314"/>
      <c r="U1694" s="1314"/>
      <c r="V1694" s="1314"/>
      <c r="W1694" s="1314"/>
      <c r="X1694" s="1314"/>
      <c r="Y1694" s="1314"/>
      <c r="Z1694" s="1314"/>
    </row>
    <row r="1695" spans="1:26" ht="18.75">
      <c r="A1695" s="1393"/>
      <c r="B1695" s="1393"/>
      <c r="C1695" s="1393"/>
      <c r="D1695" s="1506"/>
      <c r="E1695" s="1393"/>
      <c r="F1695" s="1393"/>
      <c r="G1695" s="1393"/>
      <c r="H1695" s="1507"/>
      <c r="I1695" s="1508"/>
      <c r="J1695" s="1508"/>
      <c r="K1695" s="1509"/>
      <c r="L1695" s="1509"/>
      <c r="M1695" s="1509"/>
      <c r="N1695" s="1509"/>
      <c r="O1695" s="1509"/>
      <c r="P1695" s="1509"/>
      <c r="Q1695" s="1314"/>
      <c r="R1695" s="1314"/>
      <c r="S1695" s="1314"/>
      <c r="T1695" s="1314"/>
      <c r="U1695" s="1314"/>
      <c r="V1695" s="1314"/>
      <c r="W1695" s="1314"/>
      <c r="X1695" s="1314"/>
      <c r="Y1695" s="1314"/>
      <c r="Z1695" s="1314"/>
    </row>
    <row r="1696" spans="1:26" ht="18.75">
      <c r="A1696" s="1393"/>
      <c r="B1696" s="1393"/>
      <c r="C1696" s="1393"/>
      <c r="D1696" s="1506"/>
      <c r="E1696" s="1393"/>
      <c r="F1696" s="1393"/>
      <c r="G1696" s="1393"/>
      <c r="H1696" s="1507"/>
      <c r="I1696" s="1508"/>
      <c r="J1696" s="1508"/>
      <c r="K1696" s="1509"/>
      <c r="L1696" s="1509"/>
      <c r="M1696" s="1509"/>
      <c r="N1696" s="1509"/>
      <c r="O1696" s="1509"/>
      <c r="P1696" s="1509"/>
      <c r="Q1696" s="1314"/>
      <c r="R1696" s="1314"/>
      <c r="S1696" s="1314"/>
      <c r="T1696" s="1314"/>
      <c r="U1696" s="1314"/>
      <c r="V1696" s="1314"/>
      <c r="W1696" s="1314"/>
      <c r="X1696" s="1314"/>
      <c r="Y1696" s="1314"/>
      <c r="Z1696" s="1314"/>
    </row>
    <row r="1697" spans="1:26" ht="18.75">
      <c r="A1697" s="1393"/>
      <c r="B1697" s="1393"/>
      <c r="C1697" s="1393"/>
      <c r="D1697" s="1506"/>
      <c r="E1697" s="1393"/>
      <c r="F1697" s="1393"/>
      <c r="G1697" s="1393"/>
      <c r="H1697" s="1507"/>
      <c r="I1697" s="1508"/>
      <c r="J1697" s="1508"/>
      <c r="K1697" s="1509"/>
      <c r="L1697" s="1509"/>
      <c r="M1697" s="1509"/>
      <c r="N1697" s="1509"/>
      <c r="O1697" s="1509"/>
      <c r="P1697" s="1509"/>
      <c r="Q1697" s="1314"/>
      <c r="R1697" s="1314"/>
      <c r="S1697" s="1314"/>
      <c r="T1697" s="1314"/>
      <c r="U1697" s="1314"/>
      <c r="V1697" s="1314"/>
      <c r="W1697" s="1314"/>
      <c r="X1697" s="1314"/>
      <c r="Y1697" s="1314"/>
      <c r="Z1697" s="1314"/>
    </row>
    <row r="1698" spans="1:26" ht="18.75">
      <c r="A1698" s="1393"/>
      <c r="B1698" s="1393"/>
      <c r="C1698" s="1393"/>
      <c r="D1698" s="1506"/>
      <c r="E1698" s="1393"/>
      <c r="F1698" s="1393"/>
      <c r="G1698" s="1393"/>
      <c r="H1698" s="1507"/>
      <c r="I1698" s="1508"/>
      <c r="J1698" s="1508"/>
      <c r="K1698" s="1509"/>
      <c r="L1698" s="1509"/>
      <c r="M1698" s="1509"/>
      <c r="N1698" s="1509"/>
      <c r="O1698" s="1509"/>
      <c r="P1698" s="1509"/>
      <c r="Q1698" s="1314"/>
      <c r="R1698" s="1314"/>
      <c r="S1698" s="1314"/>
      <c r="T1698" s="1314"/>
      <c r="U1698" s="1314"/>
      <c r="V1698" s="1314"/>
      <c r="W1698" s="1314"/>
      <c r="X1698" s="1314"/>
      <c r="Y1698" s="1314"/>
      <c r="Z1698" s="1314"/>
    </row>
    <row r="1699" spans="1:26" ht="18.75">
      <c r="A1699" s="1393"/>
      <c r="B1699" s="1393"/>
      <c r="C1699" s="1393"/>
      <c r="D1699" s="1506"/>
      <c r="E1699" s="1393"/>
      <c r="F1699" s="1393"/>
      <c r="G1699" s="1393"/>
      <c r="H1699" s="1507"/>
      <c r="I1699" s="1508"/>
      <c r="J1699" s="1508"/>
      <c r="K1699" s="1509"/>
      <c r="L1699" s="1509"/>
      <c r="M1699" s="1509"/>
      <c r="N1699" s="1509"/>
      <c r="O1699" s="1509"/>
      <c r="P1699" s="1509"/>
      <c r="Q1699" s="1314"/>
      <c r="R1699" s="1314"/>
      <c r="S1699" s="1314"/>
      <c r="T1699" s="1314"/>
      <c r="U1699" s="1314"/>
      <c r="V1699" s="1314"/>
      <c r="W1699" s="1314"/>
      <c r="X1699" s="1314"/>
      <c r="Y1699" s="1314"/>
      <c r="Z1699" s="1314"/>
    </row>
    <row r="1700" spans="1:26" ht="18.75">
      <c r="A1700" s="1393"/>
      <c r="B1700" s="1393"/>
      <c r="C1700" s="1393"/>
      <c r="D1700" s="1506"/>
      <c r="E1700" s="1393"/>
      <c r="F1700" s="1393"/>
      <c r="G1700" s="1393"/>
      <c r="H1700" s="1507"/>
      <c r="I1700" s="1508"/>
      <c r="J1700" s="1508"/>
      <c r="K1700" s="1509"/>
      <c r="L1700" s="1509"/>
      <c r="M1700" s="1509"/>
      <c r="N1700" s="1509"/>
      <c r="O1700" s="1509"/>
      <c r="P1700" s="1509"/>
      <c r="Q1700" s="1314"/>
      <c r="R1700" s="1314"/>
      <c r="S1700" s="1314"/>
      <c r="T1700" s="1314"/>
      <c r="U1700" s="1314"/>
      <c r="V1700" s="1314"/>
      <c r="W1700" s="1314"/>
      <c r="X1700" s="1314"/>
      <c r="Y1700" s="1314"/>
      <c r="Z1700" s="1314"/>
    </row>
    <row r="1701" spans="1:26" ht="18.75">
      <c r="A1701" s="1393"/>
      <c r="B1701" s="1393"/>
      <c r="C1701" s="1393"/>
      <c r="D1701" s="1506"/>
      <c r="E1701" s="1393"/>
      <c r="F1701" s="1393"/>
      <c r="G1701" s="1393"/>
      <c r="H1701" s="1507"/>
      <c r="I1701" s="1508"/>
      <c r="J1701" s="1508"/>
      <c r="K1701" s="1509"/>
      <c r="L1701" s="1509"/>
      <c r="M1701" s="1509"/>
      <c r="N1701" s="1509"/>
      <c r="O1701" s="1509"/>
      <c r="P1701" s="1509"/>
      <c r="Q1701" s="1314"/>
      <c r="R1701" s="1314"/>
      <c r="S1701" s="1314"/>
      <c r="T1701" s="1314"/>
      <c r="U1701" s="1314"/>
      <c r="V1701" s="1314"/>
      <c r="W1701" s="1314"/>
      <c r="X1701" s="1314"/>
      <c r="Y1701" s="1314"/>
      <c r="Z1701" s="1314"/>
    </row>
    <row r="1702" spans="1:26" ht="18.75">
      <c r="A1702" s="1393"/>
      <c r="B1702" s="1393"/>
      <c r="C1702" s="1393"/>
      <c r="D1702" s="1506"/>
      <c r="E1702" s="1393"/>
      <c r="F1702" s="1393"/>
      <c r="G1702" s="1393"/>
      <c r="H1702" s="1507"/>
      <c r="I1702" s="1508"/>
      <c r="J1702" s="1508"/>
      <c r="K1702" s="1509"/>
      <c r="L1702" s="1509"/>
      <c r="M1702" s="1509"/>
      <c r="N1702" s="1509"/>
      <c r="O1702" s="1509"/>
      <c r="P1702" s="1509"/>
      <c r="Q1702" s="1314"/>
      <c r="R1702" s="1314"/>
      <c r="S1702" s="1314"/>
      <c r="T1702" s="1314"/>
      <c r="U1702" s="1314"/>
      <c r="V1702" s="1314"/>
      <c r="W1702" s="1314"/>
      <c r="X1702" s="1314"/>
      <c r="Y1702" s="1314"/>
      <c r="Z1702" s="1314"/>
    </row>
    <row r="1703" spans="1:26" ht="18.75">
      <c r="A1703" s="1393"/>
      <c r="B1703" s="1393"/>
      <c r="C1703" s="1393"/>
      <c r="D1703" s="1506"/>
      <c r="E1703" s="1393"/>
      <c r="F1703" s="1393"/>
      <c r="G1703" s="1393"/>
      <c r="H1703" s="1507"/>
      <c r="I1703" s="1508"/>
      <c r="J1703" s="1508"/>
      <c r="K1703" s="1509"/>
      <c r="L1703" s="1509"/>
      <c r="M1703" s="1509"/>
      <c r="N1703" s="1509"/>
      <c r="O1703" s="1509"/>
      <c r="P1703" s="1509"/>
      <c r="Q1703" s="1314"/>
      <c r="R1703" s="1314"/>
      <c r="S1703" s="1314"/>
      <c r="T1703" s="1314"/>
      <c r="U1703" s="1314"/>
      <c r="V1703" s="1314"/>
      <c r="W1703" s="1314"/>
      <c r="X1703" s="1314"/>
      <c r="Y1703" s="1314"/>
      <c r="Z1703" s="1314"/>
    </row>
    <row r="1704" spans="1:26" ht="18.75">
      <c r="A1704" s="1393"/>
      <c r="B1704" s="1393"/>
      <c r="C1704" s="1393"/>
      <c r="D1704" s="1506"/>
      <c r="E1704" s="1393"/>
      <c r="F1704" s="1393"/>
      <c r="G1704" s="1393"/>
      <c r="H1704" s="1507"/>
      <c r="I1704" s="1508"/>
      <c r="J1704" s="1508"/>
      <c r="K1704" s="1509"/>
      <c r="L1704" s="1509"/>
      <c r="M1704" s="1509"/>
      <c r="N1704" s="1509"/>
      <c r="O1704" s="1509"/>
      <c r="P1704" s="1509"/>
      <c r="Q1704" s="1314"/>
      <c r="R1704" s="1314"/>
      <c r="S1704" s="1314"/>
      <c r="T1704" s="1314"/>
      <c r="U1704" s="1314"/>
      <c r="V1704" s="1314"/>
      <c r="W1704" s="1314"/>
      <c r="X1704" s="1314"/>
      <c r="Y1704" s="1314"/>
      <c r="Z1704" s="1314"/>
    </row>
    <row r="1705" spans="1:26" ht="18.75">
      <c r="A1705" s="1393"/>
      <c r="B1705" s="1393"/>
      <c r="C1705" s="1393"/>
      <c r="D1705" s="1506"/>
      <c r="E1705" s="1393"/>
      <c r="F1705" s="1393"/>
      <c r="G1705" s="1393"/>
      <c r="H1705" s="1507"/>
      <c r="I1705" s="1508"/>
      <c r="J1705" s="1508"/>
      <c r="K1705" s="1509"/>
      <c r="L1705" s="1509"/>
      <c r="M1705" s="1509"/>
      <c r="N1705" s="1509"/>
      <c r="O1705" s="1509"/>
      <c r="P1705" s="1509"/>
      <c r="Q1705" s="1314"/>
      <c r="R1705" s="1314"/>
      <c r="S1705" s="1314"/>
      <c r="T1705" s="1314"/>
      <c r="U1705" s="1314"/>
      <c r="V1705" s="1314"/>
      <c r="W1705" s="1314"/>
      <c r="X1705" s="1314"/>
      <c r="Y1705" s="1314"/>
      <c r="Z1705" s="1314"/>
    </row>
    <row r="1706" spans="1:26" ht="18.75">
      <c r="A1706" s="1393"/>
      <c r="B1706" s="1393"/>
      <c r="C1706" s="1393"/>
      <c r="D1706" s="1506"/>
      <c r="E1706" s="1393"/>
      <c r="F1706" s="1393"/>
      <c r="G1706" s="1393"/>
      <c r="H1706" s="1507"/>
      <c r="I1706" s="1508"/>
      <c r="J1706" s="1508"/>
      <c r="K1706" s="1509"/>
      <c r="L1706" s="1509"/>
      <c r="M1706" s="1509"/>
      <c r="N1706" s="1509"/>
      <c r="O1706" s="1509"/>
      <c r="P1706" s="1509"/>
      <c r="Q1706" s="1314"/>
      <c r="R1706" s="1314"/>
      <c r="S1706" s="1314"/>
      <c r="T1706" s="1314"/>
      <c r="U1706" s="1314"/>
      <c r="V1706" s="1314"/>
      <c r="W1706" s="1314"/>
      <c r="X1706" s="1314"/>
      <c r="Y1706" s="1314"/>
      <c r="Z1706" s="1314"/>
    </row>
    <row r="1707" spans="1:26" ht="18.75">
      <c r="A1707" s="1393"/>
      <c r="B1707" s="1393"/>
      <c r="C1707" s="1393"/>
      <c r="D1707" s="1506"/>
      <c r="E1707" s="1393"/>
      <c r="F1707" s="1393"/>
      <c r="G1707" s="1393"/>
      <c r="H1707" s="1507"/>
      <c r="I1707" s="1508"/>
      <c r="J1707" s="1508"/>
      <c r="K1707" s="1509"/>
      <c r="L1707" s="1509"/>
      <c r="M1707" s="1509"/>
      <c r="N1707" s="1509"/>
      <c r="O1707" s="1509"/>
      <c r="P1707" s="1509"/>
      <c r="Q1707" s="1314"/>
      <c r="R1707" s="1314"/>
      <c r="S1707" s="1314"/>
      <c r="T1707" s="1314"/>
      <c r="U1707" s="1314"/>
      <c r="V1707" s="1314"/>
      <c r="W1707" s="1314"/>
      <c r="X1707" s="1314"/>
      <c r="Y1707" s="1314"/>
      <c r="Z1707" s="1314"/>
    </row>
    <row r="1708" spans="1:26" ht="18.75">
      <c r="A1708" s="1393"/>
      <c r="B1708" s="1393"/>
      <c r="C1708" s="1393"/>
      <c r="D1708" s="1506"/>
      <c r="E1708" s="1393"/>
      <c r="F1708" s="1393"/>
      <c r="G1708" s="1393"/>
      <c r="H1708" s="1507"/>
      <c r="I1708" s="1508"/>
      <c r="J1708" s="1508"/>
      <c r="K1708" s="1509"/>
      <c r="L1708" s="1509"/>
      <c r="M1708" s="1509"/>
      <c r="N1708" s="1509"/>
      <c r="O1708" s="1509"/>
      <c r="P1708" s="1509"/>
      <c r="Q1708" s="1314"/>
      <c r="R1708" s="1314"/>
      <c r="S1708" s="1314"/>
      <c r="T1708" s="1314"/>
      <c r="U1708" s="1314"/>
      <c r="V1708" s="1314"/>
      <c r="W1708" s="1314"/>
      <c r="X1708" s="1314"/>
      <c r="Y1708" s="1314"/>
      <c r="Z1708" s="1314"/>
    </row>
    <row r="1709" spans="1:26" ht="18.75">
      <c r="A1709" s="1393"/>
      <c r="B1709" s="1393"/>
      <c r="C1709" s="1393"/>
      <c r="D1709" s="1506"/>
      <c r="E1709" s="1393"/>
      <c r="F1709" s="1393"/>
      <c r="G1709" s="1393"/>
      <c r="H1709" s="1507"/>
      <c r="I1709" s="1508"/>
      <c r="J1709" s="1508"/>
      <c r="K1709" s="1509"/>
      <c r="L1709" s="1509"/>
      <c r="M1709" s="1509"/>
      <c r="N1709" s="1509"/>
      <c r="O1709" s="1509"/>
      <c r="P1709" s="1509"/>
      <c r="Q1709" s="1314"/>
      <c r="R1709" s="1314"/>
      <c r="S1709" s="1314"/>
      <c r="T1709" s="1314"/>
      <c r="U1709" s="1314"/>
      <c r="V1709" s="1314"/>
      <c r="W1709" s="1314"/>
      <c r="X1709" s="1314"/>
      <c r="Y1709" s="1314"/>
      <c r="Z1709" s="1314"/>
    </row>
    <row r="1710" spans="1:26" ht="18.75">
      <c r="A1710" s="1393"/>
      <c r="B1710" s="1393"/>
      <c r="C1710" s="1393"/>
      <c r="D1710" s="1506"/>
      <c r="E1710" s="1393"/>
      <c r="F1710" s="1393"/>
      <c r="G1710" s="1393"/>
      <c r="H1710" s="1507"/>
      <c r="I1710" s="1508"/>
      <c r="J1710" s="1508"/>
      <c r="K1710" s="1509"/>
      <c r="L1710" s="1509"/>
      <c r="M1710" s="1509"/>
      <c r="N1710" s="1509"/>
      <c r="O1710" s="1509"/>
      <c r="P1710" s="1509"/>
      <c r="Q1710" s="1314"/>
      <c r="R1710" s="1314"/>
      <c r="S1710" s="1314"/>
      <c r="T1710" s="1314"/>
      <c r="U1710" s="1314"/>
      <c r="V1710" s="1314"/>
      <c r="W1710" s="1314"/>
      <c r="X1710" s="1314"/>
      <c r="Y1710" s="1314"/>
      <c r="Z1710" s="1314"/>
    </row>
    <row r="1711" spans="1:26" ht="18.75">
      <c r="A1711" s="1393"/>
      <c r="B1711" s="1393"/>
      <c r="C1711" s="1393"/>
      <c r="D1711" s="1506"/>
      <c r="E1711" s="1393"/>
      <c r="F1711" s="1393"/>
      <c r="G1711" s="1393"/>
      <c r="H1711" s="1507"/>
      <c r="I1711" s="1508"/>
      <c r="J1711" s="1508"/>
      <c r="K1711" s="1509"/>
      <c r="L1711" s="1509"/>
      <c r="M1711" s="1509"/>
      <c r="N1711" s="1509"/>
      <c r="O1711" s="1509"/>
      <c r="P1711" s="1509"/>
      <c r="Q1711" s="1314"/>
      <c r="R1711" s="1314"/>
      <c r="S1711" s="1314"/>
      <c r="T1711" s="1314"/>
      <c r="U1711" s="1314"/>
      <c r="V1711" s="1314"/>
      <c r="W1711" s="1314"/>
      <c r="X1711" s="1314"/>
      <c r="Y1711" s="1314"/>
      <c r="Z1711" s="1314"/>
    </row>
    <row r="1712" spans="1:26" ht="18.75">
      <c r="A1712" s="1393"/>
      <c r="B1712" s="1393"/>
      <c r="C1712" s="1393"/>
      <c r="D1712" s="1506"/>
      <c r="E1712" s="1393"/>
      <c r="F1712" s="1393"/>
      <c r="G1712" s="1393"/>
      <c r="H1712" s="1507"/>
      <c r="I1712" s="1508"/>
      <c r="J1712" s="1508"/>
      <c r="K1712" s="1509"/>
      <c r="L1712" s="1509"/>
      <c r="M1712" s="1509"/>
      <c r="N1712" s="1509"/>
      <c r="O1712" s="1509"/>
      <c r="P1712" s="1509"/>
      <c r="Q1712" s="1314"/>
      <c r="R1712" s="1314"/>
      <c r="S1712" s="1314"/>
      <c r="T1712" s="1314"/>
      <c r="U1712" s="1314"/>
      <c r="V1712" s="1314"/>
      <c r="W1712" s="1314"/>
      <c r="X1712" s="1314"/>
      <c r="Y1712" s="1314"/>
      <c r="Z1712" s="1314"/>
    </row>
    <row r="1713" spans="1:26" ht="18.75">
      <c r="A1713" s="1393"/>
      <c r="B1713" s="1393"/>
      <c r="C1713" s="1393"/>
      <c r="D1713" s="1506"/>
      <c r="E1713" s="1393"/>
      <c r="F1713" s="1393"/>
      <c r="G1713" s="1393"/>
      <c r="H1713" s="1507"/>
      <c r="I1713" s="1508"/>
      <c r="J1713" s="1508"/>
      <c r="K1713" s="1509"/>
      <c r="L1713" s="1509"/>
      <c r="M1713" s="1509"/>
      <c r="N1713" s="1509"/>
      <c r="O1713" s="1509"/>
      <c r="P1713" s="1509"/>
      <c r="Q1713" s="1314"/>
      <c r="R1713" s="1314"/>
      <c r="S1713" s="1314"/>
      <c r="T1713" s="1314"/>
      <c r="U1713" s="1314"/>
      <c r="V1713" s="1314"/>
      <c r="W1713" s="1314"/>
      <c r="X1713" s="1314"/>
      <c r="Y1713" s="1314"/>
      <c r="Z1713" s="1314"/>
    </row>
    <row r="1714" spans="1:26" ht="18.75">
      <c r="A1714" s="1393"/>
      <c r="B1714" s="1393"/>
      <c r="C1714" s="1393"/>
      <c r="D1714" s="1506"/>
      <c r="E1714" s="1393"/>
      <c r="F1714" s="1393"/>
      <c r="G1714" s="1393"/>
      <c r="H1714" s="1507"/>
      <c r="I1714" s="1508"/>
      <c r="J1714" s="1508"/>
      <c r="K1714" s="1509"/>
      <c r="L1714" s="1509"/>
      <c r="M1714" s="1509"/>
      <c r="N1714" s="1509"/>
      <c r="O1714" s="1509"/>
      <c r="P1714" s="1509"/>
      <c r="Q1714" s="1314"/>
      <c r="R1714" s="1314"/>
      <c r="S1714" s="1314"/>
      <c r="T1714" s="1314"/>
      <c r="U1714" s="1314"/>
      <c r="V1714" s="1314"/>
      <c r="W1714" s="1314"/>
      <c r="X1714" s="1314"/>
      <c r="Y1714" s="1314"/>
      <c r="Z1714" s="1314"/>
    </row>
    <row r="1715" spans="1:26" ht="18.75">
      <c r="A1715" s="1393"/>
      <c r="B1715" s="1393"/>
      <c r="C1715" s="1393"/>
      <c r="D1715" s="1506"/>
      <c r="E1715" s="1393"/>
      <c r="F1715" s="1393"/>
      <c r="G1715" s="1393"/>
      <c r="H1715" s="1507"/>
      <c r="I1715" s="1508"/>
      <c r="J1715" s="1508"/>
      <c r="K1715" s="1509"/>
      <c r="L1715" s="1509"/>
      <c r="M1715" s="1509"/>
      <c r="N1715" s="1509"/>
      <c r="O1715" s="1509"/>
      <c r="P1715" s="1509"/>
      <c r="Q1715" s="1314"/>
      <c r="R1715" s="1314"/>
      <c r="S1715" s="1314"/>
      <c r="T1715" s="1314"/>
      <c r="U1715" s="1314"/>
      <c r="V1715" s="1314"/>
      <c r="W1715" s="1314"/>
      <c r="X1715" s="1314"/>
      <c r="Y1715" s="1314"/>
      <c r="Z1715" s="1314"/>
    </row>
    <row r="1716" spans="1:26" ht="18.75">
      <c r="A1716" s="1393"/>
      <c r="B1716" s="1393"/>
      <c r="C1716" s="1393"/>
      <c r="D1716" s="1506"/>
      <c r="E1716" s="1393"/>
      <c r="F1716" s="1393"/>
      <c r="G1716" s="1393"/>
      <c r="H1716" s="1507"/>
      <c r="I1716" s="1508"/>
      <c r="J1716" s="1508"/>
      <c r="K1716" s="1509"/>
      <c r="L1716" s="1509"/>
      <c r="M1716" s="1509"/>
      <c r="N1716" s="1509"/>
      <c r="O1716" s="1509"/>
      <c r="P1716" s="1509"/>
      <c r="Q1716" s="1314"/>
      <c r="R1716" s="1314"/>
      <c r="S1716" s="1314"/>
      <c r="T1716" s="1314"/>
      <c r="U1716" s="1314"/>
      <c r="V1716" s="1314"/>
      <c r="W1716" s="1314"/>
      <c r="X1716" s="1314"/>
      <c r="Y1716" s="1314"/>
      <c r="Z1716" s="1314"/>
    </row>
    <row r="1717" spans="1:26" ht="18.75">
      <c r="A1717" s="1393"/>
      <c r="B1717" s="1393"/>
      <c r="C1717" s="1393"/>
      <c r="D1717" s="1506"/>
      <c r="E1717" s="1393"/>
      <c r="F1717" s="1393"/>
      <c r="G1717" s="1393"/>
      <c r="H1717" s="1507"/>
      <c r="I1717" s="1508"/>
      <c r="J1717" s="1508"/>
      <c r="K1717" s="1509"/>
      <c r="L1717" s="1509"/>
      <c r="M1717" s="1509"/>
      <c r="N1717" s="1509"/>
      <c r="O1717" s="1509"/>
      <c r="P1717" s="1509"/>
      <c r="Q1717" s="1314"/>
      <c r="R1717" s="1314"/>
      <c r="S1717" s="1314"/>
      <c r="T1717" s="1314"/>
      <c r="U1717" s="1314"/>
      <c r="V1717" s="1314"/>
      <c r="W1717" s="1314"/>
      <c r="X1717" s="1314"/>
      <c r="Y1717" s="1314"/>
      <c r="Z1717" s="1314"/>
    </row>
    <row r="1718" spans="1:26" ht="18.75">
      <c r="A1718" s="1393"/>
      <c r="B1718" s="1393"/>
      <c r="C1718" s="1393"/>
      <c r="D1718" s="1506"/>
      <c r="E1718" s="1393"/>
      <c r="F1718" s="1393"/>
      <c r="G1718" s="1393"/>
      <c r="H1718" s="1507"/>
      <c r="I1718" s="1508"/>
      <c r="J1718" s="1508"/>
      <c r="K1718" s="1509"/>
      <c r="L1718" s="1509"/>
      <c r="M1718" s="1509"/>
      <c r="N1718" s="1509"/>
      <c r="O1718" s="1509"/>
      <c r="P1718" s="1509"/>
      <c r="Q1718" s="1314"/>
      <c r="R1718" s="1314"/>
      <c r="S1718" s="1314"/>
      <c r="T1718" s="1314"/>
      <c r="U1718" s="1314"/>
      <c r="V1718" s="1314"/>
      <c r="W1718" s="1314"/>
      <c r="X1718" s="1314"/>
      <c r="Y1718" s="1314"/>
      <c r="Z1718" s="1314"/>
    </row>
    <row r="1719" spans="1:26" ht="18.75">
      <c r="A1719" s="1393"/>
      <c r="B1719" s="1393"/>
      <c r="C1719" s="1393"/>
      <c r="D1719" s="1506"/>
      <c r="E1719" s="1393"/>
      <c r="F1719" s="1393"/>
      <c r="G1719" s="1393"/>
      <c r="H1719" s="1507"/>
      <c r="I1719" s="1508"/>
      <c r="J1719" s="1508"/>
      <c r="K1719" s="1509"/>
      <c r="L1719" s="1509"/>
      <c r="M1719" s="1509"/>
      <c r="N1719" s="1509"/>
      <c r="O1719" s="1509"/>
      <c r="P1719" s="1509"/>
      <c r="Q1719" s="1314"/>
      <c r="R1719" s="1314"/>
      <c r="S1719" s="1314"/>
      <c r="T1719" s="1314"/>
      <c r="U1719" s="1314"/>
      <c r="V1719" s="1314"/>
      <c r="W1719" s="1314"/>
      <c r="X1719" s="1314"/>
      <c r="Y1719" s="1314"/>
      <c r="Z1719" s="1314"/>
    </row>
    <row r="1720" spans="1:26" ht="18.75">
      <c r="A1720" s="1393"/>
      <c r="B1720" s="1393"/>
      <c r="C1720" s="1393"/>
      <c r="D1720" s="1506"/>
      <c r="E1720" s="1393"/>
      <c r="F1720" s="1393"/>
      <c r="G1720" s="1393"/>
      <c r="H1720" s="1507"/>
      <c r="I1720" s="1508"/>
      <c r="J1720" s="1508"/>
      <c r="K1720" s="1509"/>
      <c r="L1720" s="1509"/>
      <c r="M1720" s="1509"/>
      <c r="N1720" s="1509"/>
      <c r="O1720" s="1509"/>
      <c r="P1720" s="1509"/>
      <c r="Q1720" s="1314"/>
      <c r="R1720" s="1314"/>
      <c r="S1720" s="1314"/>
      <c r="T1720" s="1314"/>
      <c r="U1720" s="1314"/>
      <c r="V1720" s="1314"/>
      <c r="W1720" s="1314"/>
      <c r="X1720" s="1314"/>
      <c r="Y1720" s="1314"/>
      <c r="Z1720" s="1314"/>
    </row>
    <row r="1721" spans="1:26" ht="18.75">
      <c r="A1721" s="1393"/>
      <c r="B1721" s="1393"/>
      <c r="C1721" s="1393"/>
      <c r="D1721" s="1506"/>
      <c r="E1721" s="1393"/>
      <c r="F1721" s="1393"/>
      <c r="G1721" s="1393"/>
      <c r="H1721" s="1507"/>
      <c r="I1721" s="1508"/>
      <c r="J1721" s="1508"/>
      <c r="K1721" s="1509"/>
      <c r="L1721" s="1509"/>
      <c r="M1721" s="1509"/>
      <c r="N1721" s="1509"/>
      <c r="O1721" s="1509"/>
      <c r="P1721" s="1509"/>
      <c r="Q1721" s="1314"/>
      <c r="R1721" s="1314"/>
      <c r="S1721" s="1314"/>
      <c r="T1721" s="1314"/>
      <c r="U1721" s="1314"/>
      <c r="V1721" s="1314"/>
      <c r="W1721" s="1314"/>
      <c r="X1721" s="1314"/>
      <c r="Y1721" s="1314"/>
      <c r="Z1721" s="1314"/>
    </row>
    <row r="1722" spans="1:26" ht="18.75">
      <c r="A1722" s="1393"/>
      <c r="B1722" s="1393"/>
      <c r="C1722" s="1393"/>
      <c r="D1722" s="1506"/>
      <c r="E1722" s="1393"/>
      <c r="F1722" s="1393"/>
      <c r="G1722" s="1393"/>
      <c r="H1722" s="1507"/>
      <c r="I1722" s="1508"/>
      <c r="J1722" s="1508"/>
      <c r="K1722" s="1509"/>
      <c r="L1722" s="1509"/>
      <c r="M1722" s="1509"/>
      <c r="N1722" s="1509"/>
      <c r="O1722" s="1509"/>
      <c r="P1722" s="1509"/>
      <c r="Q1722" s="1314"/>
      <c r="R1722" s="1314"/>
      <c r="S1722" s="1314"/>
      <c r="T1722" s="1314"/>
      <c r="U1722" s="1314"/>
      <c r="V1722" s="1314"/>
      <c r="W1722" s="1314"/>
      <c r="X1722" s="1314"/>
      <c r="Y1722" s="1314"/>
      <c r="Z1722" s="1314"/>
    </row>
    <row r="1723" spans="1:26" ht="18.75">
      <c r="A1723" s="1393"/>
      <c r="B1723" s="1393"/>
      <c r="C1723" s="1393"/>
      <c r="D1723" s="1506"/>
      <c r="E1723" s="1393"/>
      <c r="F1723" s="1393"/>
      <c r="G1723" s="1393"/>
      <c r="H1723" s="1507"/>
      <c r="I1723" s="1508"/>
      <c r="J1723" s="1508"/>
      <c r="K1723" s="1509"/>
      <c r="L1723" s="1509"/>
      <c r="M1723" s="1509"/>
      <c r="N1723" s="1509"/>
      <c r="O1723" s="1509"/>
      <c r="P1723" s="1509"/>
      <c r="Q1723" s="1314"/>
      <c r="R1723" s="1314"/>
      <c r="S1723" s="1314"/>
      <c r="T1723" s="1314"/>
      <c r="U1723" s="1314"/>
      <c r="V1723" s="1314"/>
      <c r="W1723" s="1314"/>
      <c r="X1723" s="1314"/>
      <c r="Y1723" s="1314"/>
      <c r="Z1723" s="1314"/>
    </row>
    <row r="1724" spans="1:26" ht="18.75">
      <c r="A1724" s="1393"/>
      <c r="B1724" s="1393"/>
      <c r="C1724" s="1393"/>
      <c r="D1724" s="1506"/>
      <c r="E1724" s="1393"/>
      <c r="F1724" s="1393"/>
      <c r="G1724" s="1393"/>
      <c r="H1724" s="1507"/>
      <c r="I1724" s="1508"/>
      <c r="J1724" s="1508"/>
      <c r="K1724" s="1509"/>
      <c r="L1724" s="1509"/>
      <c r="M1724" s="1509"/>
      <c r="N1724" s="1509"/>
      <c r="O1724" s="1509"/>
      <c r="P1724" s="1509"/>
      <c r="Q1724" s="1314"/>
      <c r="R1724" s="1314"/>
      <c r="S1724" s="1314"/>
      <c r="T1724" s="1314"/>
      <c r="U1724" s="1314"/>
      <c r="V1724" s="1314"/>
      <c r="W1724" s="1314"/>
      <c r="X1724" s="1314"/>
      <c r="Y1724" s="1314"/>
      <c r="Z1724" s="1314"/>
    </row>
    <row r="1725" spans="1:26" ht="18.75">
      <c r="A1725" s="1393"/>
      <c r="B1725" s="1393"/>
      <c r="C1725" s="1393"/>
      <c r="D1725" s="1506"/>
      <c r="E1725" s="1393"/>
      <c r="F1725" s="1393"/>
      <c r="G1725" s="1393"/>
      <c r="H1725" s="1507"/>
      <c r="I1725" s="1508"/>
      <c r="J1725" s="1508"/>
      <c r="K1725" s="1509"/>
      <c r="L1725" s="1509"/>
      <c r="M1725" s="1509"/>
      <c r="N1725" s="1509"/>
      <c r="O1725" s="1509"/>
      <c r="P1725" s="1509"/>
      <c r="Q1725" s="1314"/>
      <c r="R1725" s="1314"/>
      <c r="S1725" s="1314"/>
      <c r="T1725" s="1314"/>
      <c r="U1725" s="1314"/>
      <c r="V1725" s="1314"/>
      <c r="W1725" s="1314"/>
      <c r="X1725" s="1314"/>
      <c r="Y1725" s="1314"/>
      <c r="Z1725" s="1314"/>
    </row>
    <row r="1726" spans="1:26" ht="18.75">
      <c r="A1726" s="1393"/>
      <c r="B1726" s="1393"/>
      <c r="C1726" s="1393"/>
      <c r="D1726" s="1506"/>
      <c r="E1726" s="1393"/>
      <c r="F1726" s="1393"/>
      <c r="G1726" s="1393"/>
      <c r="H1726" s="1507"/>
      <c r="I1726" s="1508"/>
      <c r="J1726" s="1508"/>
      <c r="K1726" s="1509"/>
      <c r="L1726" s="1509"/>
      <c r="M1726" s="1509"/>
      <c r="N1726" s="1509"/>
      <c r="O1726" s="1509"/>
      <c r="P1726" s="1509"/>
      <c r="Q1726" s="1314"/>
      <c r="R1726" s="1314"/>
      <c r="S1726" s="1314"/>
      <c r="T1726" s="1314"/>
      <c r="U1726" s="1314"/>
      <c r="V1726" s="1314"/>
      <c r="W1726" s="1314"/>
      <c r="X1726" s="1314"/>
      <c r="Y1726" s="1314"/>
      <c r="Z1726" s="1314"/>
    </row>
    <row r="1727" spans="1:26" ht="18.75">
      <c r="A1727" s="1393"/>
      <c r="B1727" s="1393"/>
      <c r="C1727" s="1393"/>
      <c r="D1727" s="1506"/>
      <c r="E1727" s="1393"/>
      <c r="F1727" s="1393"/>
      <c r="G1727" s="1393"/>
      <c r="H1727" s="1507"/>
      <c r="I1727" s="1508"/>
      <c r="J1727" s="1508"/>
      <c r="K1727" s="1509"/>
      <c r="L1727" s="1509"/>
      <c r="M1727" s="1509"/>
      <c r="N1727" s="1509"/>
      <c r="O1727" s="1509"/>
      <c r="P1727" s="1509"/>
      <c r="Q1727" s="1314"/>
      <c r="R1727" s="1314"/>
      <c r="S1727" s="1314"/>
      <c r="T1727" s="1314"/>
      <c r="U1727" s="1314"/>
      <c r="V1727" s="1314"/>
      <c r="W1727" s="1314"/>
      <c r="X1727" s="1314"/>
      <c r="Y1727" s="1314"/>
      <c r="Z1727" s="1314"/>
    </row>
    <row r="1728" spans="1:26" ht="18.75">
      <c r="A1728" s="1393"/>
      <c r="B1728" s="1393"/>
      <c r="C1728" s="1393"/>
      <c r="D1728" s="1506"/>
      <c r="E1728" s="1393"/>
      <c r="F1728" s="1393"/>
      <c r="G1728" s="1393"/>
      <c r="H1728" s="1507"/>
      <c r="I1728" s="1508"/>
      <c r="J1728" s="1508"/>
      <c r="K1728" s="1509"/>
      <c r="L1728" s="1509"/>
      <c r="M1728" s="1509"/>
      <c r="N1728" s="1509"/>
      <c r="O1728" s="1509"/>
      <c r="P1728" s="1509"/>
      <c r="Q1728" s="1314"/>
      <c r="R1728" s="1314"/>
      <c r="S1728" s="1314"/>
      <c r="T1728" s="1314"/>
      <c r="U1728" s="1314"/>
      <c r="V1728" s="1314"/>
      <c r="W1728" s="1314"/>
      <c r="X1728" s="1314"/>
      <c r="Y1728" s="1314"/>
      <c r="Z1728" s="1314"/>
    </row>
    <row r="1729" spans="1:26" ht="18.75">
      <c r="A1729" s="1393"/>
      <c r="B1729" s="1393"/>
      <c r="C1729" s="1393"/>
      <c r="D1729" s="1506"/>
      <c r="E1729" s="1393"/>
      <c r="F1729" s="1393"/>
      <c r="G1729" s="1393"/>
      <c r="H1729" s="1507"/>
      <c r="I1729" s="1508"/>
      <c r="J1729" s="1508"/>
      <c r="K1729" s="1509"/>
      <c r="L1729" s="1509"/>
      <c r="M1729" s="1509"/>
      <c r="N1729" s="1509"/>
      <c r="O1729" s="1509"/>
      <c r="P1729" s="1509"/>
      <c r="Q1729" s="1314"/>
      <c r="R1729" s="1314"/>
      <c r="S1729" s="1314"/>
      <c r="T1729" s="1314"/>
      <c r="U1729" s="1314"/>
      <c r="V1729" s="1314"/>
      <c r="W1729" s="1314"/>
      <c r="X1729" s="1314"/>
      <c r="Y1729" s="1314"/>
      <c r="Z1729" s="1314"/>
    </row>
    <row r="1730" spans="1:26" ht="18.75">
      <c r="A1730" s="1393"/>
      <c r="B1730" s="1393"/>
      <c r="C1730" s="1393"/>
      <c r="D1730" s="1506"/>
      <c r="E1730" s="1393"/>
      <c r="F1730" s="1393"/>
      <c r="G1730" s="1393"/>
      <c r="H1730" s="1507"/>
      <c r="I1730" s="1508"/>
      <c r="J1730" s="1508"/>
      <c r="K1730" s="1509"/>
      <c r="L1730" s="1509"/>
      <c r="M1730" s="1509"/>
      <c r="N1730" s="1509"/>
      <c r="O1730" s="1509"/>
      <c r="P1730" s="1509"/>
      <c r="Q1730" s="1314"/>
      <c r="R1730" s="1314"/>
      <c r="S1730" s="1314"/>
      <c r="T1730" s="1314"/>
      <c r="U1730" s="1314"/>
      <c r="V1730" s="1314"/>
      <c r="W1730" s="1314"/>
      <c r="X1730" s="1314"/>
      <c r="Y1730" s="1314"/>
      <c r="Z1730" s="1314"/>
    </row>
    <row r="1731" spans="1:26" ht="18.75">
      <c r="A1731" s="1393"/>
      <c r="B1731" s="1393"/>
      <c r="C1731" s="1393"/>
      <c r="D1731" s="1506"/>
      <c r="E1731" s="1393"/>
      <c r="F1731" s="1393"/>
      <c r="G1731" s="1393"/>
      <c r="H1731" s="1507"/>
      <c r="I1731" s="1508"/>
      <c r="J1731" s="1508"/>
      <c r="K1731" s="1509"/>
      <c r="L1731" s="1509"/>
      <c r="M1731" s="1509"/>
      <c r="N1731" s="1509"/>
      <c r="O1731" s="1509"/>
      <c r="P1731" s="1509"/>
      <c r="Q1731" s="1314"/>
      <c r="R1731" s="1314"/>
      <c r="S1731" s="1314"/>
      <c r="T1731" s="1314"/>
      <c r="U1731" s="1314"/>
      <c r="V1731" s="1314"/>
      <c r="W1731" s="1314"/>
      <c r="X1731" s="1314"/>
      <c r="Y1731" s="1314"/>
      <c r="Z1731" s="1314"/>
    </row>
    <row r="1732" spans="1:26" ht="18.75">
      <c r="A1732" s="1393"/>
      <c r="B1732" s="1393"/>
      <c r="C1732" s="1393"/>
      <c r="D1732" s="1506"/>
      <c r="E1732" s="1393"/>
      <c r="F1732" s="1393"/>
      <c r="G1732" s="1393"/>
      <c r="H1732" s="1507"/>
      <c r="I1732" s="1508"/>
      <c r="J1732" s="1508"/>
      <c r="K1732" s="1509"/>
      <c r="L1732" s="1509"/>
      <c r="M1732" s="1509"/>
      <c r="N1732" s="1509"/>
      <c r="O1732" s="1509"/>
      <c r="P1732" s="1509"/>
      <c r="Q1732" s="1314"/>
      <c r="R1732" s="1314"/>
      <c r="S1732" s="1314"/>
      <c r="T1732" s="1314"/>
      <c r="U1732" s="1314"/>
      <c r="V1732" s="1314"/>
      <c r="W1732" s="1314"/>
      <c r="X1732" s="1314"/>
      <c r="Y1732" s="1314"/>
      <c r="Z1732" s="1314"/>
    </row>
    <row r="1733" spans="1:26" ht="18.75">
      <c r="A1733" s="1393"/>
      <c r="B1733" s="1393"/>
      <c r="C1733" s="1393"/>
      <c r="D1733" s="1506"/>
      <c r="E1733" s="1393"/>
      <c r="F1733" s="1393"/>
      <c r="G1733" s="1393"/>
      <c r="H1733" s="1507"/>
      <c r="I1733" s="1508"/>
      <c r="J1733" s="1508"/>
      <c r="K1733" s="1509"/>
      <c r="L1733" s="1509"/>
      <c r="M1733" s="1509"/>
      <c r="N1733" s="1509"/>
      <c r="O1733" s="1509"/>
      <c r="P1733" s="1509"/>
      <c r="Q1733" s="1314"/>
      <c r="R1733" s="1314"/>
      <c r="S1733" s="1314"/>
      <c r="T1733" s="1314"/>
      <c r="U1733" s="1314"/>
      <c r="V1733" s="1314"/>
      <c r="W1733" s="1314"/>
      <c r="X1733" s="1314"/>
      <c r="Y1733" s="1314"/>
      <c r="Z1733" s="1314"/>
    </row>
    <row r="1734" spans="1:26" ht="18.75">
      <c r="A1734" s="1393"/>
      <c r="B1734" s="1393"/>
      <c r="C1734" s="1393"/>
      <c r="D1734" s="1506"/>
      <c r="E1734" s="1393"/>
      <c r="F1734" s="1393"/>
      <c r="G1734" s="1393"/>
      <c r="H1734" s="1507"/>
      <c r="I1734" s="1508"/>
      <c r="J1734" s="1508"/>
      <c r="K1734" s="1509"/>
      <c r="L1734" s="1509"/>
      <c r="M1734" s="1509"/>
      <c r="N1734" s="1509"/>
      <c r="O1734" s="1509"/>
      <c r="P1734" s="1509"/>
      <c r="Q1734" s="1314"/>
      <c r="R1734" s="1314"/>
      <c r="S1734" s="1314"/>
      <c r="T1734" s="1314"/>
      <c r="U1734" s="1314"/>
      <c r="V1734" s="1314"/>
      <c r="W1734" s="1314"/>
      <c r="X1734" s="1314"/>
      <c r="Y1734" s="1314"/>
      <c r="Z1734" s="1314"/>
    </row>
    <row r="1735" spans="1:26" ht="18.75">
      <c r="A1735" s="1393"/>
      <c r="B1735" s="1393"/>
      <c r="C1735" s="1393"/>
      <c r="D1735" s="1506"/>
      <c r="E1735" s="1393"/>
      <c r="F1735" s="1393"/>
      <c r="G1735" s="1393"/>
      <c r="H1735" s="1507"/>
      <c r="I1735" s="1508"/>
      <c r="J1735" s="1508"/>
      <c r="K1735" s="1509"/>
      <c r="L1735" s="1509"/>
      <c r="M1735" s="1509"/>
      <c r="N1735" s="1509"/>
      <c r="O1735" s="1509"/>
      <c r="P1735" s="1509"/>
      <c r="Q1735" s="1314"/>
      <c r="R1735" s="1314"/>
      <c r="S1735" s="1314"/>
      <c r="T1735" s="1314"/>
      <c r="U1735" s="1314"/>
      <c r="V1735" s="1314"/>
      <c r="W1735" s="1314"/>
      <c r="X1735" s="1314"/>
      <c r="Y1735" s="1314"/>
      <c r="Z1735" s="1314"/>
    </row>
    <row r="1736" spans="1:26" ht="18.75">
      <c r="A1736" s="1393"/>
      <c r="B1736" s="1393"/>
      <c r="C1736" s="1393"/>
      <c r="D1736" s="1506"/>
      <c r="E1736" s="1393"/>
      <c r="F1736" s="1393"/>
      <c r="G1736" s="1393"/>
      <c r="H1736" s="1507"/>
      <c r="I1736" s="1508"/>
      <c r="J1736" s="1508"/>
      <c r="K1736" s="1509"/>
      <c r="L1736" s="1509"/>
      <c r="M1736" s="1509"/>
      <c r="N1736" s="1509"/>
      <c r="O1736" s="1509"/>
      <c r="P1736" s="1509"/>
      <c r="Q1736" s="1314"/>
      <c r="R1736" s="1314"/>
      <c r="S1736" s="1314"/>
      <c r="T1736" s="1314"/>
      <c r="U1736" s="1314"/>
      <c r="V1736" s="1314"/>
      <c r="W1736" s="1314"/>
      <c r="X1736" s="1314"/>
      <c r="Y1736" s="1314"/>
      <c r="Z1736" s="1314"/>
    </row>
    <row r="1737" spans="1:26" ht="18.75">
      <c r="A1737" s="1393"/>
      <c r="B1737" s="1393"/>
      <c r="C1737" s="1393"/>
      <c r="D1737" s="1506"/>
      <c r="E1737" s="1393"/>
      <c r="F1737" s="1393"/>
      <c r="G1737" s="1393"/>
      <c r="H1737" s="1507"/>
      <c r="I1737" s="1508"/>
      <c r="J1737" s="1508"/>
      <c r="K1737" s="1509"/>
      <c r="L1737" s="1509"/>
      <c r="M1737" s="1509"/>
      <c r="N1737" s="1509"/>
      <c r="O1737" s="1509"/>
      <c r="P1737" s="1509"/>
      <c r="Q1737" s="1314"/>
      <c r="R1737" s="1314"/>
      <c r="S1737" s="1314"/>
      <c r="T1737" s="1314"/>
      <c r="U1737" s="1314"/>
      <c r="V1737" s="1314"/>
      <c r="W1737" s="1314"/>
      <c r="X1737" s="1314"/>
      <c r="Y1737" s="1314"/>
      <c r="Z1737" s="1314"/>
    </row>
    <row r="1738" spans="1:26" ht="18.75">
      <c r="A1738" s="1393"/>
      <c r="B1738" s="1393"/>
      <c r="C1738" s="1393"/>
      <c r="D1738" s="1506"/>
      <c r="E1738" s="1393"/>
      <c r="F1738" s="1393"/>
      <c r="G1738" s="1393"/>
      <c r="H1738" s="1507"/>
      <c r="I1738" s="1508"/>
      <c r="J1738" s="1508"/>
      <c r="K1738" s="1509"/>
      <c r="L1738" s="1509"/>
      <c r="M1738" s="1509"/>
      <c r="N1738" s="1509"/>
      <c r="O1738" s="1509"/>
      <c r="P1738" s="1509"/>
      <c r="Q1738" s="1314"/>
      <c r="R1738" s="1314"/>
      <c r="S1738" s="1314"/>
      <c r="T1738" s="1314"/>
      <c r="U1738" s="1314"/>
      <c r="V1738" s="1314"/>
      <c r="W1738" s="1314"/>
      <c r="X1738" s="1314"/>
      <c r="Y1738" s="1314"/>
      <c r="Z1738" s="1314"/>
    </row>
    <row r="1739" spans="1:26" ht="18.75">
      <c r="A1739" s="1393"/>
      <c r="B1739" s="1393"/>
      <c r="C1739" s="1393"/>
      <c r="D1739" s="1506"/>
      <c r="E1739" s="1393"/>
      <c r="F1739" s="1393"/>
      <c r="G1739" s="1393"/>
      <c r="H1739" s="1507"/>
      <c r="I1739" s="1508"/>
      <c r="J1739" s="1508"/>
      <c r="K1739" s="1509"/>
      <c r="L1739" s="1509"/>
      <c r="M1739" s="1509"/>
      <c r="N1739" s="1509"/>
      <c r="O1739" s="1509"/>
      <c r="P1739" s="1509"/>
      <c r="Q1739" s="1314"/>
      <c r="R1739" s="1314"/>
      <c r="S1739" s="1314"/>
      <c r="T1739" s="1314"/>
      <c r="U1739" s="1314"/>
      <c r="V1739" s="1314"/>
      <c r="W1739" s="1314"/>
      <c r="X1739" s="1314"/>
      <c r="Y1739" s="1314"/>
      <c r="Z1739" s="1314"/>
    </row>
    <row r="1740" spans="1:26" ht="18.75">
      <c r="A1740" s="1393"/>
      <c r="B1740" s="1393"/>
      <c r="C1740" s="1393"/>
      <c r="D1740" s="1506"/>
      <c r="E1740" s="1393"/>
      <c r="F1740" s="1393"/>
      <c r="G1740" s="1393"/>
      <c r="H1740" s="1507"/>
      <c r="I1740" s="1508"/>
      <c r="J1740" s="1508"/>
      <c r="K1740" s="1509"/>
      <c r="L1740" s="1509"/>
      <c r="M1740" s="1509"/>
      <c r="N1740" s="1509"/>
      <c r="O1740" s="1509"/>
      <c r="P1740" s="1509"/>
      <c r="Q1740" s="1314"/>
      <c r="R1740" s="1314"/>
      <c r="S1740" s="1314"/>
      <c r="T1740" s="1314"/>
      <c r="U1740" s="1314"/>
      <c r="V1740" s="1314"/>
      <c r="W1740" s="1314"/>
      <c r="X1740" s="1314"/>
      <c r="Y1740" s="1314"/>
      <c r="Z1740" s="1314"/>
    </row>
    <row r="1741" spans="1:26" ht="18.75">
      <c r="A1741" s="1393"/>
      <c r="B1741" s="1393"/>
      <c r="C1741" s="1393"/>
      <c r="D1741" s="1506"/>
      <c r="E1741" s="1393"/>
      <c r="F1741" s="1393"/>
      <c r="G1741" s="1393"/>
      <c r="H1741" s="1507"/>
      <c r="I1741" s="1508"/>
      <c r="J1741" s="1508"/>
      <c r="K1741" s="1509"/>
      <c r="L1741" s="1509"/>
      <c r="M1741" s="1509"/>
      <c r="N1741" s="1509"/>
      <c r="O1741" s="1509"/>
      <c r="P1741" s="1509"/>
      <c r="Q1741" s="1314"/>
      <c r="R1741" s="1314"/>
      <c r="S1741" s="1314"/>
      <c r="T1741" s="1314"/>
      <c r="U1741" s="1314"/>
      <c r="V1741" s="1314"/>
      <c r="W1741" s="1314"/>
      <c r="X1741" s="1314"/>
      <c r="Y1741" s="1314"/>
      <c r="Z1741" s="1314"/>
    </row>
    <row r="1742" spans="1:26" ht="18.75">
      <c r="A1742" s="1393"/>
      <c r="B1742" s="1393"/>
      <c r="C1742" s="1393"/>
      <c r="D1742" s="1506"/>
      <c r="E1742" s="1393"/>
      <c r="F1742" s="1393"/>
      <c r="G1742" s="1393"/>
      <c r="H1742" s="1507"/>
      <c r="I1742" s="1508"/>
      <c r="J1742" s="1508"/>
      <c r="K1742" s="1509"/>
      <c r="L1742" s="1509"/>
      <c r="M1742" s="1509"/>
      <c r="N1742" s="1509"/>
      <c r="O1742" s="1509"/>
      <c r="P1742" s="1509"/>
      <c r="Q1742" s="1314"/>
      <c r="R1742" s="1314"/>
      <c r="S1742" s="1314"/>
      <c r="T1742" s="1314"/>
      <c r="U1742" s="1314"/>
      <c r="V1742" s="1314"/>
      <c r="W1742" s="1314"/>
      <c r="X1742" s="1314"/>
      <c r="Y1742" s="1314"/>
      <c r="Z1742" s="1314"/>
    </row>
    <row r="1743" spans="1:26" ht="18.75">
      <c r="A1743" s="1393"/>
      <c r="B1743" s="1393"/>
      <c r="C1743" s="1393"/>
      <c r="D1743" s="1506"/>
      <c r="E1743" s="1393"/>
      <c r="F1743" s="1393"/>
      <c r="G1743" s="1393"/>
      <c r="H1743" s="1507"/>
      <c r="I1743" s="1508"/>
      <c r="J1743" s="1508"/>
      <c r="K1743" s="1509"/>
      <c r="L1743" s="1509"/>
      <c r="M1743" s="1509"/>
      <c r="N1743" s="1509"/>
      <c r="O1743" s="1509"/>
      <c r="P1743" s="1509"/>
      <c r="Q1743" s="1314"/>
      <c r="R1743" s="1314"/>
      <c r="S1743" s="1314"/>
      <c r="T1743" s="1314"/>
      <c r="U1743" s="1314"/>
      <c r="V1743" s="1314"/>
      <c r="W1743" s="1314"/>
      <c r="X1743" s="1314"/>
      <c r="Y1743" s="1314"/>
      <c r="Z1743" s="1314"/>
    </row>
    <row r="1744" spans="1:26" ht="18.75">
      <c r="A1744" s="1393"/>
      <c r="B1744" s="1393"/>
      <c r="C1744" s="1393"/>
      <c r="D1744" s="1506"/>
      <c r="E1744" s="1393"/>
      <c r="F1744" s="1393"/>
      <c r="G1744" s="1393"/>
      <c r="H1744" s="1507"/>
      <c r="I1744" s="1508"/>
      <c r="J1744" s="1508"/>
      <c r="K1744" s="1509"/>
      <c r="L1744" s="1509"/>
      <c r="M1744" s="1509"/>
      <c r="N1744" s="1509"/>
      <c r="O1744" s="1509"/>
      <c r="P1744" s="1509"/>
      <c r="Q1744" s="1314"/>
      <c r="R1744" s="1314"/>
      <c r="S1744" s="1314"/>
      <c r="T1744" s="1314"/>
      <c r="U1744" s="1314"/>
      <c r="V1744" s="1314"/>
      <c r="W1744" s="1314"/>
      <c r="X1744" s="1314"/>
      <c r="Y1744" s="1314"/>
      <c r="Z1744" s="1314"/>
    </row>
    <row r="1745" spans="1:26" ht="18.75">
      <c r="A1745" s="1393"/>
      <c r="B1745" s="1393"/>
      <c r="C1745" s="1393"/>
      <c r="D1745" s="1506"/>
      <c r="E1745" s="1393"/>
      <c r="F1745" s="1393"/>
      <c r="G1745" s="1393"/>
      <c r="H1745" s="1507"/>
      <c r="I1745" s="1508"/>
      <c r="J1745" s="1508"/>
      <c r="K1745" s="1509"/>
      <c r="L1745" s="1509"/>
      <c r="M1745" s="1509"/>
      <c r="N1745" s="1509"/>
      <c r="O1745" s="1509"/>
      <c r="P1745" s="1509"/>
      <c r="Q1745" s="1314"/>
      <c r="R1745" s="1314"/>
      <c r="S1745" s="1314"/>
      <c r="T1745" s="1314"/>
      <c r="U1745" s="1314"/>
      <c r="V1745" s="1314"/>
      <c r="W1745" s="1314"/>
      <c r="X1745" s="1314"/>
      <c r="Y1745" s="1314"/>
      <c r="Z1745" s="1314"/>
    </row>
    <row r="1746" spans="1:26" ht="18.75">
      <c r="A1746" s="1393"/>
      <c r="B1746" s="1393"/>
      <c r="C1746" s="1393"/>
      <c r="D1746" s="1506"/>
      <c r="E1746" s="1393"/>
      <c r="F1746" s="1393"/>
      <c r="G1746" s="1393"/>
      <c r="H1746" s="1507"/>
      <c r="I1746" s="1508"/>
      <c r="J1746" s="1508"/>
      <c r="K1746" s="1509"/>
      <c r="L1746" s="1509"/>
      <c r="M1746" s="1509"/>
      <c r="N1746" s="1509"/>
      <c r="O1746" s="1509"/>
      <c r="P1746" s="1509"/>
      <c r="Q1746" s="1314"/>
      <c r="R1746" s="1314"/>
      <c r="S1746" s="1314"/>
      <c r="T1746" s="1314"/>
      <c r="U1746" s="1314"/>
      <c r="V1746" s="1314"/>
      <c r="W1746" s="1314"/>
      <c r="X1746" s="1314"/>
      <c r="Y1746" s="1314"/>
      <c r="Z1746" s="1314"/>
    </row>
    <row r="1747" spans="1:26" ht="18.75">
      <c r="A1747" s="1393"/>
      <c r="B1747" s="1393"/>
      <c r="C1747" s="1393"/>
      <c r="D1747" s="1506"/>
      <c r="E1747" s="1393"/>
      <c r="F1747" s="1393"/>
      <c r="G1747" s="1393"/>
      <c r="H1747" s="1507"/>
      <c r="I1747" s="1508"/>
      <c r="J1747" s="1508"/>
      <c r="K1747" s="1509"/>
      <c r="L1747" s="1509"/>
      <c r="M1747" s="1509"/>
      <c r="N1747" s="1509"/>
      <c r="O1747" s="1509"/>
      <c r="P1747" s="1509"/>
      <c r="Q1747" s="1314"/>
      <c r="R1747" s="1314"/>
      <c r="S1747" s="1314"/>
      <c r="T1747" s="1314"/>
      <c r="U1747" s="1314"/>
      <c r="V1747" s="1314"/>
      <c r="W1747" s="1314"/>
      <c r="X1747" s="1314"/>
      <c r="Y1747" s="1314"/>
      <c r="Z1747" s="1314"/>
    </row>
    <row r="1748" spans="1:26" ht="18.75">
      <c r="A1748" s="1393"/>
      <c r="B1748" s="1393"/>
      <c r="C1748" s="1393"/>
      <c r="D1748" s="1506"/>
      <c r="E1748" s="1393"/>
      <c r="F1748" s="1393"/>
      <c r="G1748" s="1393"/>
      <c r="H1748" s="1507"/>
      <c r="I1748" s="1508"/>
      <c r="J1748" s="1508"/>
      <c r="K1748" s="1509"/>
      <c r="L1748" s="1509"/>
      <c r="M1748" s="1509"/>
      <c r="N1748" s="1509"/>
      <c r="O1748" s="1509"/>
      <c r="P1748" s="1509"/>
      <c r="Q1748" s="1314"/>
      <c r="R1748" s="1314"/>
      <c r="S1748" s="1314"/>
      <c r="T1748" s="1314"/>
      <c r="U1748" s="1314"/>
      <c r="V1748" s="1314"/>
      <c r="W1748" s="1314"/>
      <c r="X1748" s="1314"/>
      <c r="Y1748" s="1314"/>
      <c r="Z1748" s="1314"/>
    </row>
    <row r="1749" spans="1:26" ht="18.75">
      <c r="A1749" s="1393"/>
      <c r="B1749" s="1393"/>
      <c r="C1749" s="1393"/>
      <c r="D1749" s="1506"/>
      <c r="E1749" s="1393"/>
      <c r="F1749" s="1393"/>
      <c r="G1749" s="1393"/>
      <c r="H1749" s="1507"/>
      <c r="I1749" s="1508"/>
      <c r="J1749" s="1508"/>
      <c r="K1749" s="1509"/>
      <c r="L1749" s="1509"/>
      <c r="M1749" s="1509"/>
      <c r="N1749" s="1509"/>
      <c r="O1749" s="1509"/>
      <c r="P1749" s="1509"/>
      <c r="Q1749" s="1314"/>
      <c r="R1749" s="1314"/>
      <c r="S1749" s="1314"/>
      <c r="T1749" s="1314"/>
      <c r="U1749" s="1314"/>
      <c r="V1749" s="1314"/>
      <c r="W1749" s="1314"/>
      <c r="X1749" s="1314"/>
      <c r="Y1749" s="1314"/>
      <c r="Z1749" s="1314"/>
    </row>
    <row r="1750" spans="1:26" ht="18.75">
      <c r="A1750" s="1393"/>
      <c r="B1750" s="1393"/>
      <c r="C1750" s="1393"/>
      <c r="D1750" s="1506"/>
      <c r="E1750" s="1393"/>
      <c r="F1750" s="1393"/>
      <c r="G1750" s="1393"/>
      <c r="H1750" s="1507"/>
      <c r="I1750" s="1508"/>
      <c r="J1750" s="1508"/>
      <c r="K1750" s="1509"/>
      <c r="L1750" s="1509"/>
      <c r="M1750" s="1509"/>
      <c r="N1750" s="1509"/>
      <c r="O1750" s="1509"/>
      <c r="P1750" s="1509"/>
      <c r="Q1750" s="1314"/>
      <c r="R1750" s="1314"/>
      <c r="S1750" s="1314"/>
      <c r="T1750" s="1314"/>
      <c r="U1750" s="1314"/>
      <c r="V1750" s="1314"/>
      <c r="W1750" s="1314"/>
      <c r="X1750" s="1314"/>
      <c r="Y1750" s="1314"/>
      <c r="Z1750" s="1314"/>
    </row>
    <row r="1751" spans="1:26" ht="18.75">
      <c r="A1751" s="1393"/>
      <c r="B1751" s="1393"/>
      <c r="C1751" s="1393"/>
      <c r="D1751" s="1506"/>
      <c r="E1751" s="1393"/>
      <c r="F1751" s="1393"/>
      <c r="G1751" s="1393"/>
      <c r="H1751" s="1507"/>
      <c r="I1751" s="1508"/>
      <c r="J1751" s="1508"/>
      <c r="K1751" s="1509"/>
      <c r="L1751" s="1509"/>
      <c r="M1751" s="1509"/>
      <c r="N1751" s="1509"/>
      <c r="O1751" s="1509"/>
      <c r="P1751" s="1509"/>
      <c r="Q1751" s="1314"/>
      <c r="R1751" s="1314"/>
      <c r="S1751" s="1314"/>
      <c r="T1751" s="1314"/>
      <c r="U1751" s="1314"/>
      <c r="V1751" s="1314"/>
      <c r="W1751" s="1314"/>
      <c r="X1751" s="1314"/>
      <c r="Y1751" s="1314"/>
      <c r="Z1751" s="1314"/>
    </row>
    <row r="1752" spans="1:26" ht="18.75">
      <c r="A1752" s="1393"/>
      <c r="B1752" s="1393"/>
      <c r="C1752" s="1393"/>
      <c r="D1752" s="1506"/>
      <c r="E1752" s="1393"/>
      <c r="F1752" s="1393"/>
      <c r="G1752" s="1393"/>
      <c r="H1752" s="1507"/>
      <c r="I1752" s="1508"/>
      <c r="J1752" s="1508"/>
      <c r="K1752" s="1509"/>
      <c r="L1752" s="1509"/>
      <c r="M1752" s="1509"/>
      <c r="N1752" s="1509"/>
      <c r="O1752" s="1509"/>
      <c r="P1752" s="1509"/>
      <c r="Q1752" s="1314"/>
      <c r="R1752" s="1314"/>
      <c r="S1752" s="1314"/>
      <c r="T1752" s="1314"/>
      <c r="U1752" s="1314"/>
      <c r="V1752" s="1314"/>
      <c r="W1752" s="1314"/>
      <c r="X1752" s="1314"/>
      <c r="Y1752" s="1314"/>
      <c r="Z1752" s="1314"/>
    </row>
    <row r="1753" spans="1:26" ht="18.75">
      <c r="A1753" s="1393"/>
      <c r="B1753" s="1393"/>
      <c r="C1753" s="1393"/>
      <c r="D1753" s="1506"/>
      <c r="E1753" s="1393"/>
      <c r="F1753" s="1393"/>
      <c r="G1753" s="1393"/>
      <c r="H1753" s="1507"/>
      <c r="I1753" s="1508"/>
      <c r="J1753" s="1508"/>
      <c r="K1753" s="1509"/>
      <c r="L1753" s="1509"/>
      <c r="M1753" s="1509"/>
      <c r="N1753" s="1509"/>
      <c r="O1753" s="1509"/>
      <c r="P1753" s="1509"/>
      <c r="Q1753" s="1314"/>
      <c r="R1753" s="1314"/>
      <c r="S1753" s="1314"/>
      <c r="T1753" s="1314"/>
      <c r="U1753" s="1314"/>
      <c r="V1753" s="1314"/>
      <c r="W1753" s="1314"/>
      <c r="X1753" s="1314"/>
      <c r="Y1753" s="1314"/>
      <c r="Z1753" s="1314"/>
    </row>
    <row r="1754" spans="1:26" ht="18.75">
      <c r="A1754" s="1393"/>
      <c r="B1754" s="1393"/>
      <c r="C1754" s="1393"/>
      <c r="D1754" s="1506"/>
      <c r="E1754" s="1393"/>
      <c r="F1754" s="1393"/>
      <c r="G1754" s="1393"/>
      <c r="H1754" s="1507"/>
      <c r="I1754" s="1508"/>
      <c r="J1754" s="1508"/>
      <c r="K1754" s="1509"/>
      <c r="L1754" s="1509"/>
      <c r="M1754" s="1509"/>
      <c r="N1754" s="1509"/>
      <c r="O1754" s="1509"/>
      <c r="P1754" s="1509"/>
      <c r="Q1754" s="1314"/>
      <c r="R1754" s="1314"/>
      <c r="S1754" s="1314"/>
      <c r="T1754" s="1314"/>
      <c r="U1754" s="1314"/>
      <c r="V1754" s="1314"/>
      <c r="W1754" s="1314"/>
      <c r="X1754" s="1314"/>
      <c r="Y1754" s="1314"/>
      <c r="Z1754" s="1314"/>
    </row>
    <row r="1755" spans="1:26" ht="18.75">
      <c r="A1755" s="1393"/>
      <c r="B1755" s="1393"/>
      <c r="C1755" s="1393"/>
      <c r="D1755" s="1506"/>
      <c r="E1755" s="1393"/>
      <c r="F1755" s="1393"/>
      <c r="G1755" s="1393"/>
      <c r="H1755" s="1507"/>
      <c r="I1755" s="1508"/>
      <c r="J1755" s="1508"/>
      <c r="K1755" s="1509"/>
      <c r="L1755" s="1509"/>
      <c r="M1755" s="1509"/>
      <c r="N1755" s="1509"/>
      <c r="O1755" s="1509"/>
      <c r="P1755" s="1509"/>
      <c r="Q1755" s="1314"/>
      <c r="R1755" s="1314"/>
      <c r="S1755" s="1314"/>
      <c r="T1755" s="1314"/>
      <c r="U1755" s="1314"/>
      <c r="V1755" s="1314"/>
      <c r="W1755" s="1314"/>
      <c r="X1755" s="1314"/>
      <c r="Y1755" s="1314"/>
      <c r="Z1755" s="1314"/>
    </row>
    <row r="1756" spans="1:26" ht="18.75">
      <c r="A1756" s="1393"/>
      <c r="B1756" s="1393"/>
      <c r="C1756" s="1393"/>
      <c r="D1756" s="1506"/>
      <c r="E1756" s="1393"/>
      <c r="F1756" s="1393"/>
      <c r="G1756" s="1393"/>
      <c r="H1756" s="1507"/>
      <c r="I1756" s="1508"/>
      <c r="J1756" s="1508"/>
      <c r="K1756" s="1509"/>
      <c r="L1756" s="1509"/>
      <c r="M1756" s="1509"/>
      <c r="N1756" s="1509"/>
      <c r="O1756" s="1509"/>
      <c r="P1756" s="1509"/>
      <c r="Q1756" s="1314"/>
      <c r="R1756" s="1314"/>
      <c r="S1756" s="1314"/>
      <c r="T1756" s="1314"/>
      <c r="U1756" s="1314"/>
      <c r="V1756" s="1314"/>
      <c r="W1756" s="1314"/>
      <c r="X1756" s="1314"/>
      <c r="Y1756" s="1314"/>
      <c r="Z1756" s="1314"/>
    </row>
    <row r="1757" spans="1:26" ht="18.75">
      <c r="A1757" s="1393"/>
      <c r="B1757" s="1393"/>
      <c r="C1757" s="1393"/>
      <c r="D1757" s="1506"/>
      <c r="E1757" s="1393"/>
      <c r="F1757" s="1393"/>
      <c r="G1757" s="1393"/>
      <c r="H1757" s="1507"/>
      <c r="I1757" s="1508"/>
      <c r="J1757" s="1508"/>
      <c r="K1757" s="1509"/>
      <c r="L1757" s="1509"/>
      <c r="M1757" s="1509"/>
      <c r="N1757" s="1509"/>
      <c r="O1757" s="1509"/>
      <c r="P1757" s="1509"/>
      <c r="Q1757" s="1314"/>
      <c r="R1757" s="1314"/>
      <c r="S1757" s="1314"/>
      <c r="T1757" s="1314"/>
      <c r="U1757" s="1314"/>
      <c r="V1757" s="1314"/>
      <c r="W1757" s="1314"/>
      <c r="X1757" s="1314"/>
      <c r="Y1757" s="1314"/>
      <c r="Z1757" s="1314"/>
    </row>
    <row r="1758" spans="1:26" ht="18.75">
      <c r="A1758" s="1393"/>
      <c r="B1758" s="1393"/>
      <c r="C1758" s="1393"/>
      <c r="D1758" s="1506"/>
      <c r="E1758" s="1393"/>
      <c r="F1758" s="1393"/>
      <c r="G1758" s="1393"/>
      <c r="H1758" s="1507"/>
      <c r="I1758" s="1508"/>
      <c r="J1758" s="1508"/>
      <c r="K1758" s="1509"/>
      <c r="L1758" s="1509"/>
      <c r="M1758" s="1509"/>
      <c r="N1758" s="1509"/>
      <c r="O1758" s="1509"/>
      <c r="P1758" s="1509"/>
      <c r="Q1758" s="1314"/>
      <c r="R1758" s="1314"/>
      <c r="S1758" s="1314"/>
      <c r="T1758" s="1314"/>
      <c r="U1758" s="1314"/>
      <c r="V1758" s="1314"/>
      <c r="W1758" s="1314"/>
      <c r="X1758" s="1314"/>
      <c r="Y1758" s="1314"/>
      <c r="Z1758" s="1314"/>
    </row>
    <row r="1759" spans="1:26" ht="18.75">
      <c r="A1759" s="1393"/>
      <c r="B1759" s="1393"/>
      <c r="C1759" s="1393"/>
      <c r="D1759" s="1506"/>
      <c r="E1759" s="1393"/>
      <c r="F1759" s="1393"/>
      <c r="G1759" s="1393"/>
      <c r="H1759" s="1507"/>
      <c r="I1759" s="1508"/>
      <c r="J1759" s="1508"/>
      <c r="K1759" s="1509"/>
      <c r="L1759" s="1509"/>
      <c r="M1759" s="1509"/>
      <c r="N1759" s="1509"/>
      <c r="O1759" s="1509"/>
      <c r="P1759" s="1509"/>
      <c r="Q1759" s="1314"/>
      <c r="R1759" s="1314"/>
      <c r="S1759" s="1314"/>
      <c r="T1759" s="1314"/>
      <c r="U1759" s="1314"/>
      <c r="V1759" s="1314"/>
      <c r="W1759" s="1314"/>
      <c r="X1759" s="1314"/>
      <c r="Y1759" s="1314"/>
      <c r="Z1759" s="1314"/>
    </row>
    <row r="1760" spans="1:26" ht="18.75">
      <c r="A1760" s="1393"/>
      <c r="B1760" s="1393"/>
      <c r="C1760" s="1393"/>
      <c r="D1760" s="1506"/>
      <c r="E1760" s="1393"/>
      <c r="F1760" s="1393"/>
      <c r="G1760" s="1393"/>
      <c r="H1760" s="1507"/>
      <c r="I1760" s="1508"/>
      <c r="J1760" s="1508"/>
      <c r="K1760" s="1509"/>
      <c r="L1760" s="1509"/>
      <c r="M1760" s="1509"/>
      <c r="N1760" s="1509"/>
      <c r="O1760" s="1509"/>
      <c r="P1760" s="1509"/>
      <c r="Q1760" s="1314"/>
      <c r="R1760" s="1314"/>
      <c r="S1760" s="1314"/>
      <c r="T1760" s="1314"/>
      <c r="U1760" s="1314"/>
      <c r="V1760" s="1314"/>
      <c r="W1760" s="1314"/>
      <c r="X1760" s="1314"/>
      <c r="Y1760" s="1314"/>
      <c r="Z1760" s="1314"/>
    </row>
    <row r="1761" spans="1:26" ht="18.75">
      <c r="A1761" s="1393"/>
      <c r="B1761" s="1393"/>
      <c r="C1761" s="1393"/>
      <c r="D1761" s="1506"/>
      <c r="E1761" s="1393"/>
      <c r="F1761" s="1393"/>
      <c r="G1761" s="1393"/>
      <c r="H1761" s="1507"/>
      <c r="I1761" s="1508"/>
      <c r="J1761" s="1508"/>
      <c r="K1761" s="1509"/>
      <c r="L1761" s="1509"/>
      <c r="M1761" s="1509"/>
      <c r="N1761" s="1509"/>
      <c r="O1761" s="1509"/>
      <c r="P1761" s="1509"/>
      <c r="Q1761" s="1314"/>
      <c r="R1761" s="1314"/>
      <c r="S1761" s="1314"/>
      <c r="T1761" s="1314"/>
      <c r="U1761" s="1314"/>
      <c r="V1761" s="1314"/>
      <c r="W1761" s="1314"/>
      <c r="X1761" s="1314"/>
      <c r="Y1761" s="1314"/>
      <c r="Z1761" s="1314"/>
    </row>
    <row r="1762" spans="1:26" ht="18.75">
      <c r="A1762" s="1393"/>
      <c r="B1762" s="1393"/>
      <c r="C1762" s="1393"/>
      <c r="D1762" s="1506"/>
      <c r="E1762" s="1393"/>
      <c r="F1762" s="1393"/>
      <c r="G1762" s="1393"/>
      <c r="H1762" s="1507"/>
      <c r="I1762" s="1508"/>
      <c r="J1762" s="1508"/>
      <c r="K1762" s="1509"/>
      <c r="L1762" s="1509"/>
      <c r="M1762" s="1509"/>
      <c r="N1762" s="1509"/>
      <c r="O1762" s="1509"/>
      <c r="P1762" s="1509"/>
      <c r="Q1762" s="1314"/>
      <c r="R1762" s="1314"/>
      <c r="S1762" s="1314"/>
      <c r="T1762" s="1314"/>
      <c r="U1762" s="1314"/>
      <c r="V1762" s="1314"/>
      <c r="W1762" s="1314"/>
      <c r="X1762" s="1314"/>
      <c r="Y1762" s="1314"/>
      <c r="Z1762" s="1314"/>
    </row>
    <row r="1763" spans="1:26" ht="18.75">
      <c r="A1763" s="1393"/>
      <c r="B1763" s="1393"/>
      <c r="C1763" s="1393"/>
      <c r="D1763" s="1506"/>
      <c r="E1763" s="1393"/>
      <c r="F1763" s="1393"/>
      <c r="G1763" s="1393"/>
      <c r="H1763" s="1507"/>
      <c r="I1763" s="1508"/>
      <c r="J1763" s="1508"/>
      <c r="K1763" s="1509"/>
      <c r="L1763" s="1509"/>
      <c r="M1763" s="1509"/>
      <c r="N1763" s="1509"/>
      <c r="O1763" s="1509"/>
      <c r="P1763" s="1509"/>
      <c r="Q1763" s="1314"/>
      <c r="R1763" s="1314"/>
      <c r="S1763" s="1314"/>
      <c r="T1763" s="1314"/>
      <c r="U1763" s="1314"/>
      <c r="V1763" s="1314"/>
      <c r="W1763" s="1314"/>
      <c r="X1763" s="1314"/>
      <c r="Y1763" s="1314"/>
      <c r="Z1763" s="1314"/>
    </row>
    <row r="1764" spans="1:26" ht="18.75">
      <c r="A1764" s="1393"/>
      <c r="B1764" s="1393"/>
      <c r="C1764" s="1393"/>
      <c r="D1764" s="1506"/>
      <c r="E1764" s="1393"/>
      <c r="F1764" s="1393"/>
      <c r="G1764" s="1393"/>
      <c r="H1764" s="1507"/>
      <c r="I1764" s="1508"/>
      <c r="J1764" s="1508"/>
      <c r="K1764" s="1509"/>
      <c r="L1764" s="1509"/>
      <c r="M1764" s="1509"/>
      <c r="N1764" s="1509"/>
      <c r="O1764" s="1509"/>
      <c r="P1764" s="1509"/>
      <c r="Q1764" s="1314"/>
      <c r="R1764" s="1314"/>
      <c r="S1764" s="1314"/>
      <c r="T1764" s="1314"/>
      <c r="U1764" s="1314"/>
      <c r="V1764" s="1314"/>
      <c r="W1764" s="1314"/>
      <c r="X1764" s="1314"/>
      <c r="Y1764" s="1314"/>
      <c r="Z1764" s="1314"/>
    </row>
    <row r="1765" spans="1:26" ht="18.75">
      <c r="A1765" s="1393"/>
      <c r="B1765" s="1393"/>
      <c r="C1765" s="1393"/>
      <c r="D1765" s="1506"/>
      <c r="E1765" s="1393"/>
      <c r="F1765" s="1393"/>
      <c r="G1765" s="1393"/>
      <c r="H1765" s="1507"/>
      <c r="I1765" s="1508"/>
      <c r="J1765" s="1508"/>
      <c r="K1765" s="1509"/>
      <c r="L1765" s="1509"/>
      <c r="M1765" s="1509"/>
      <c r="N1765" s="1509"/>
      <c r="O1765" s="1509"/>
      <c r="P1765" s="1509"/>
      <c r="Q1765" s="1314"/>
      <c r="R1765" s="1314"/>
      <c r="S1765" s="1314"/>
      <c r="T1765" s="1314"/>
      <c r="U1765" s="1314"/>
      <c r="V1765" s="1314"/>
      <c r="W1765" s="1314"/>
      <c r="X1765" s="1314"/>
      <c r="Y1765" s="1314"/>
      <c r="Z1765" s="1314"/>
    </row>
    <row r="1766" spans="1:26" ht="18.75">
      <c r="A1766" s="1393"/>
      <c r="B1766" s="1393"/>
      <c r="C1766" s="1393"/>
      <c r="D1766" s="1506"/>
      <c r="E1766" s="1393"/>
      <c r="F1766" s="1393"/>
      <c r="G1766" s="1393"/>
      <c r="H1766" s="1507"/>
      <c r="I1766" s="1508"/>
      <c r="J1766" s="1508"/>
      <c r="K1766" s="1509"/>
      <c r="L1766" s="1509"/>
      <c r="M1766" s="1509"/>
      <c r="N1766" s="1509"/>
      <c r="O1766" s="1509"/>
      <c r="P1766" s="1509"/>
      <c r="Q1766" s="1314"/>
      <c r="R1766" s="1314"/>
      <c r="S1766" s="1314"/>
      <c r="T1766" s="1314"/>
      <c r="U1766" s="1314"/>
      <c r="V1766" s="1314"/>
      <c r="W1766" s="1314"/>
      <c r="X1766" s="1314"/>
      <c r="Y1766" s="1314"/>
      <c r="Z1766" s="1314"/>
    </row>
    <row r="1767" spans="1:26" ht="18.75">
      <c r="A1767" s="1393"/>
      <c r="B1767" s="1393"/>
      <c r="C1767" s="1393"/>
      <c r="D1767" s="1506"/>
      <c r="E1767" s="1393"/>
      <c r="F1767" s="1393"/>
      <c r="G1767" s="1393"/>
      <c r="H1767" s="1507"/>
      <c r="I1767" s="1508"/>
      <c r="J1767" s="1508"/>
      <c r="K1767" s="1509"/>
      <c r="L1767" s="1509"/>
      <c r="M1767" s="1509"/>
      <c r="N1767" s="1509"/>
      <c r="O1767" s="1509"/>
      <c r="P1767" s="1509"/>
      <c r="Q1767" s="1314"/>
      <c r="R1767" s="1314"/>
      <c r="S1767" s="1314"/>
      <c r="T1767" s="1314"/>
      <c r="U1767" s="1314"/>
      <c r="V1767" s="1314"/>
      <c r="W1767" s="1314"/>
      <c r="X1767" s="1314"/>
      <c r="Y1767" s="1314"/>
      <c r="Z1767" s="1314"/>
    </row>
    <row r="1768" spans="1:26" ht="18.75">
      <c r="A1768" s="1393"/>
      <c r="B1768" s="1393"/>
      <c r="C1768" s="1393"/>
      <c r="D1768" s="1506"/>
      <c r="E1768" s="1393"/>
      <c r="F1768" s="1393"/>
      <c r="G1768" s="1393"/>
      <c r="H1768" s="1507"/>
      <c r="I1768" s="1508"/>
      <c r="J1768" s="1508"/>
      <c r="K1768" s="1509"/>
      <c r="L1768" s="1509"/>
      <c r="M1768" s="1509"/>
      <c r="N1768" s="1509"/>
      <c r="O1768" s="1509"/>
      <c r="P1768" s="1509"/>
      <c r="Q1768" s="1314"/>
      <c r="R1768" s="1314"/>
      <c r="S1768" s="1314"/>
      <c r="T1768" s="1314"/>
      <c r="U1768" s="1314"/>
      <c r="V1768" s="1314"/>
      <c r="W1768" s="1314"/>
      <c r="X1768" s="1314"/>
      <c r="Y1768" s="1314"/>
      <c r="Z1768" s="1314"/>
    </row>
    <row r="1769" spans="1:26" ht="18.75">
      <c r="A1769" s="1393"/>
      <c r="B1769" s="1393"/>
      <c r="C1769" s="1393"/>
      <c r="D1769" s="1506"/>
      <c r="E1769" s="1393"/>
      <c r="F1769" s="1393"/>
      <c r="G1769" s="1393"/>
      <c r="H1769" s="1507"/>
      <c r="I1769" s="1508"/>
      <c r="J1769" s="1508"/>
      <c r="K1769" s="1509"/>
      <c r="L1769" s="1509"/>
      <c r="M1769" s="1509"/>
      <c r="N1769" s="1509"/>
      <c r="O1769" s="1509"/>
      <c r="P1769" s="1509"/>
      <c r="Q1769" s="1314"/>
      <c r="R1769" s="1314"/>
      <c r="S1769" s="1314"/>
      <c r="T1769" s="1314"/>
      <c r="U1769" s="1314"/>
      <c r="V1769" s="1314"/>
      <c r="W1769" s="1314"/>
      <c r="X1769" s="1314"/>
      <c r="Y1769" s="1314"/>
      <c r="Z1769" s="1314"/>
    </row>
    <row r="1770" spans="1:26" ht="18.75">
      <c r="A1770" s="1393"/>
      <c r="B1770" s="1393"/>
      <c r="C1770" s="1393"/>
      <c r="D1770" s="1506"/>
      <c r="E1770" s="1393"/>
      <c r="F1770" s="1393"/>
      <c r="G1770" s="1393"/>
      <c r="H1770" s="1507"/>
      <c r="I1770" s="1508"/>
      <c r="J1770" s="1508"/>
      <c r="K1770" s="1509"/>
      <c r="L1770" s="1509"/>
      <c r="M1770" s="1509"/>
      <c r="N1770" s="1509"/>
      <c r="O1770" s="1509"/>
      <c r="P1770" s="1509"/>
      <c r="Q1770" s="1314"/>
      <c r="R1770" s="1314"/>
      <c r="S1770" s="1314"/>
      <c r="T1770" s="1314"/>
      <c r="U1770" s="1314"/>
      <c r="V1770" s="1314"/>
      <c r="W1770" s="1314"/>
      <c r="X1770" s="1314"/>
      <c r="Y1770" s="1314"/>
      <c r="Z1770" s="1314"/>
    </row>
    <row r="1771" spans="1:26" ht="18.75">
      <c r="A1771" s="1393"/>
      <c r="B1771" s="1393"/>
      <c r="C1771" s="1393"/>
      <c r="D1771" s="1506"/>
      <c r="E1771" s="1393"/>
      <c r="F1771" s="1393"/>
      <c r="G1771" s="1393"/>
      <c r="H1771" s="1507"/>
      <c r="I1771" s="1508"/>
      <c r="J1771" s="1508"/>
      <c r="K1771" s="1509"/>
      <c r="L1771" s="1509"/>
      <c r="M1771" s="1509"/>
      <c r="N1771" s="1509"/>
      <c r="O1771" s="1509"/>
      <c r="P1771" s="1509"/>
      <c r="Q1771" s="1314"/>
      <c r="R1771" s="1314"/>
      <c r="S1771" s="1314"/>
      <c r="T1771" s="1314"/>
      <c r="U1771" s="1314"/>
      <c r="V1771" s="1314"/>
      <c r="W1771" s="1314"/>
      <c r="X1771" s="1314"/>
      <c r="Y1771" s="1314"/>
      <c r="Z1771" s="1314"/>
    </row>
    <row r="1772" spans="1:26" ht="18.75">
      <c r="A1772" s="1393"/>
      <c r="B1772" s="1393"/>
      <c r="C1772" s="1393"/>
      <c r="D1772" s="1506"/>
      <c r="E1772" s="1393"/>
      <c r="F1772" s="1393"/>
      <c r="G1772" s="1393"/>
      <c r="H1772" s="1507"/>
      <c r="I1772" s="1508"/>
      <c r="J1772" s="1508"/>
      <c r="K1772" s="1509"/>
      <c r="L1772" s="1509"/>
      <c r="M1772" s="1509"/>
      <c r="N1772" s="1509"/>
      <c r="O1772" s="1509"/>
      <c r="P1772" s="1509"/>
      <c r="Q1772" s="1314"/>
      <c r="R1772" s="1314"/>
      <c r="S1772" s="1314"/>
      <c r="T1772" s="1314"/>
      <c r="U1772" s="1314"/>
      <c r="V1772" s="1314"/>
      <c r="W1772" s="1314"/>
      <c r="X1772" s="1314"/>
      <c r="Y1772" s="1314"/>
      <c r="Z1772" s="1314"/>
    </row>
    <row r="1773" spans="1:26" ht="18.75">
      <c r="A1773" s="1393"/>
      <c r="B1773" s="1393"/>
      <c r="C1773" s="1393"/>
      <c r="D1773" s="1506"/>
      <c r="E1773" s="1393"/>
      <c r="F1773" s="1393"/>
      <c r="G1773" s="1393"/>
      <c r="H1773" s="1507"/>
      <c r="I1773" s="1508"/>
      <c r="J1773" s="1508"/>
      <c r="K1773" s="1509"/>
      <c r="L1773" s="1509"/>
      <c r="M1773" s="1509"/>
      <c r="N1773" s="1509"/>
      <c r="O1773" s="1509"/>
      <c r="P1773" s="1509"/>
      <c r="Q1773" s="1314"/>
      <c r="R1773" s="1314"/>
      <c r="S1773" s="1314"/>
      <c r="T1773" s="1314"/>
      <c r="U1773" s="1314"/>
      <c r="V1773" s="1314"/>
      <c r="W1773" s="1314"/>
      <c r="X1773" s="1314"/>
      <c r="Y1773" s="1314"/>
      <c r="Z1773" s="1314"/>
    </row>
    <row r="1774" spans="1:26" ht="18.75">
      <c r="A1774" s="1393"/>
      <c r="B1774" s="1393"/>
      <c r="C1774" s="1393"/>
      <c r="D1774" s="1506"/>
      <c r="E1774" s="1393"/>
      <c r="F1774" s="1393"/>
      <c r="G1774" s="1393"/>
      <c r="H1774" s="1507"/>
      <c r="I1774" s="1508"/>
      <c r="J1774" s="1508"/>
      <c r="K1774" s="1509"/>
      <c r="L1774" s="1509"/>
      <c r="M1774" s="1509"/>
      <c r="N1774" s="1509"/>
      <c r="O1774" s="1509"/>
      <c r="P1774" s="1509"/>
      <c r="Q1774" s="1314"/>
      <c r="R1774" s="1314"/>
      <c r="S1774" s="1314"/>
      <c r="T1774" s="1314"/>
      <c r="U1774" s="1314"/>
      <c r="V1774" s="1314"/>
      <c r="W1774" s="1314"/>
      <c r="X1774" s="1314"/>
      <c r="Y1774" s="1314"/>
      <c r="Z1774" s="1314"/>
    </row>
    <row r="1775" spans="1:26" ht="18.75">
      <c r="A1775" s="1393"/>
      <c r="B1775" s="1393"/>
      <c r="C1775" s="1393"/>
      <c r="D1775" s="1506"/>
      <c r="E1775" s="1393"/>
      <c r="F1775" s="1393"/>
      <c r="G1775" s="1393"/>
      <c r="H1775" s="1507"/>
      <c r="I1775" s="1508"/>
      <c r="J1775" s="1508"/>
      <c r="K1775" s="1509"/>
      <c r="L1775" s="1509"/>
      <c r="M1775" s="1509"/>
      <c r="N1775" s="1509"/>
      <c r="O1775" s="1509"/>
      <c r="P1775" s="1509"/>
      <c r="Q1775" s="1314"/>
      <c r="R1775" s="1314"/>
      <c r="S1775" s="1314"/>
      <c r="T1775" s="1314"/>
      <c r="U1775" s="1314"/>
      <c r="V1775" s="1314"/>
      <c r="W1775" s="1314"/>
      <c r="X1775" s="1314"/>
      <c r="Y1775" s="1314"/>
      <c r="Z1775" s="1314"/>
    </row>
    <row r="1776" spans="1:26" ht="18.75">
      <c r="A1776" s="1393"/>
      <c r="B1776" s="1393"/>
      <c r="C1776" s="1393"/>
      <c r="D1776" s="1506"/>
      <c r="E1776" s="1393"/>
      <c r="F1776" s="1393"/>
      <c r="G1776" s="1393"/>
      <c r="H1776" s="1507"/>
      <c r="I1776" s="1508"/>
      <c r="J1776" s="1508"/>
      <c r="K1776" s="1509"/>
      <c r="L1776" s="1509"/>
      <c r="M1776" s="1509"/>
      <c r="N1776" s="1509"/>
      <c r="O1776" s="1509"/>
      <c r="P1776" s="1509"/>
      <c r="Q1776" s="1314"/>
      <c r="R1776" s="1314"/>
      <c r="S1776" s="1314"/>
      <c r="T1776" s="1314"/>
      <c r="U1776" s="1314"/>
      <c r="V1776" s="1314"/>
      <c r="W1776" s="1314"/>
      <c r="X1776" s="1314"/>
      <c r="Y1776" s="1314"/>
      <c r="Z1776" s="1314"/>
    </row>
    <row r="1777" spans="1:26" ht="18.75">
      <c r="A1777" s="1393"/>
      <c r="B1777" s="1393"/>
      <c r="C1777" s="1393"/>
      <c r="D1777" s="1506"/>
      <c r="E1777" s="1393"/>
      <c r="F1777" s="1393"/>
      <c r="G1777" s="1393"/>
      <c r="H1777" s="1507"/>
      <c r="I1777" s="1508"/>
      <c r="J1777" s="1508"/>
      <c r="K1777" s="1509"/>
      <c r="L1777" s="1509"/>
      <c r="M1777" s="1509"/>
      <c r="N1777" s="1509"/>
      <c r="O1777" s="1509"/>
      <c r="P1777" s="1509"/>
      <c r="Q1777" s="1314"/>
      <c r="R1777" s="1314"/>
      <c r="S1777" s="1314"/>
      <c r="T1777" s="1314"/>
      <c r="U1777" s="1314"/>
      <c r="V1777" s="1314"/>
      <c r="W1777" s="1314"/>
      <c r="X1777" s="1314"/>
      <c r="Y1777" s="1314"/>
      <c r="Z1777" s="1314"/>
    </row>
    <row r="1778" spans="1:26" ht="18.75">
      <c r="A1778" s="1393"/>
      <c r="B1778" s="1393"/>
      <c r="C1778" s="1393"/>
      <c r="D1778" s="1506"/>
      <c r="E1778" s="1393"/>
      <c r="F1778" s="1393"/>
      <c r="G1778" s="1393"/>
      <c r="H1778" s="1507"/>
      <c r="I1778" s="1508"/>
      <c r="J1778" s="1508"/>
      <c r="K1778" s="1509"/>
      <c r="L1778" s="1509"/>
      <c r="M1778" s="1509"/>
      <c r="N1778" s="1509"/>
      <c r="O1778" s="1509"/>
      <c r="P1778" s="1509"/>
      <c r="Q1778" s="1314"/>
      <c r="R1778" s="1314"/>
      <c r="S1778" s="1314"/>
      <c r="T1778" s="1314"/>
      <c r="U1778" s="1314"/>
      <c r="V1778" s="1314"/>
      <c r="W1778" s="1314"/>
      <c r="X1778" s="1314"/>
      <c r="Y1778" s="1314"/>
      <c r="Z1778" s="1314"/>
    </row>
    <row r="1779" spans="1:26" ht="18.75">
      <c r="A1779" s="1393"/>
      <c r="B1779" s="1393"/>
      <c r="C1779" s="1393"/>
      <c r="D1779" s="1506"/>
      <c r="E1779" s="1393"/>
      <c r="F1779" s="1393"/>
      <c r="G1779" s="1393"/>
      <c r="H1779" s="1507"/>
      <c r="I1779" s="1508"/>
      <c r="J1779" s="1508"/>
      <c r="K1779" s="1509"/>
      <c r="L1779" s="1509"/>
      <c r="M1779" s="1509"/>
      <c r="N1779" s="1509"/>
      <c r="O1779" s="1509"/>
      <c r="P1779" s="1509"/>
      <c r="Q1779" s="1314"/>
      <c r="R1779" s="1314"/>
      <c r="S1779" s="1314"/>
      <c r="T1779" s="1314"/>
      <c r="U1779" s="1314"/>
      <c r="V1779" s="1314"/>
      <c r="W1779" s="1314"/>
      <c r="X1779" s="1314"/>
      <c r="Y1779" s="1314"/>
      <c r="Z1779" s="1314"/>
    </row>
    <row r="1780" spans="1:26" ht="18.75">
      <c r="A1780" s="1393"/>
      <c r="B1780" s="1393"/>
      <c r="C1780" s="1393"/>
      <c r="D1780" s="1506"/>
      <c r="E1780" s="1393"/>
      <c r="F1780" s="1393"/>
      <c r="G1780" s="1393"/>
      <c r="H1780" s="1507"/>
      <c r="I1780" s="1508"/>
      <c r="J1780" s="1508"/>
      <c r="K1780" s="1509"/>
      <c r="L1780" s="1509"/>
      <c r="M1780" s="1509"/>
      <c r="N1780" s="1509"/>
      <c r="O1780" s="1509"/>
      <c r="P1780" s="1509"/>
      <c r="Q1780" s="1314"/>
      <c r="R1780" s="1314"/>
      <c r="S1780" s="1314"/>
      <c r="T1780" s="1314"/>
      <c r="U1780" s="1314"/>
      <c r="V1780" s="1314"/>
      <c r="W1780" s="1314"/>
      <c r="X1780" s="1314"/>
      <c r="Y1780" s="1314"/>
      <c r="Z1780" s="1314"/>
    </row>
    <row r="1781" spans="1:26" ht="18.75">
      <c r="A1781" s="1393"/>
      <c r="B1781" s="1393"/>
      <c r="C1781" s="1393"/>
      <c r="D1781" s="1506"/>
      <c r="E1781" s="1393"/>
      <c r="F1781" s="1393"/>
      <c r="G1781" s="1393"/>
      <c r="H1781" s="1507"/>
      <c r="I1781" s="1508"/>
      <c r="J1781" s="1508"/>
      <c r="K1781" s="1509"/>
      <c r="L1781" s="1509"/>
      <c r="M1781" s="1509"/>
      <c r="N1781" s="1509"/>
      <c r="O1781" s="1509"/>
      <c r="P1781" s="1509"/>
      <c r="Q1781" s="1314"/>
      <c r="R1781" s="1314"/>
      <c r="S1781" s="1314"/>
      <c r="T1781" s="1314"/>
      <c r="U1781" s="1314"/>
      <c r="V1781" s="1314"/>
      <c r="W1781" s="1314"/>
      <c r="X1781" s="1314"/>
      <c r="Y1781" s="1314"/>
      <c r="Z1781" s="1314"/>
    </row>
    <row r="1782" spans="1:26" ht="18.75">
      <c r="A1782" s="1393"/>
      <c r="B1782" s="1393"/>
      <c r="C1782" s="1393"/>
      <c r="D1782" s="1506"/>
      <c r="E1782" s="1393"/>
      <c r="F1782" s="1393"/>
      <c r="G1782" s="1393"/>
      <c r="H1782" s="1507"/>
      <c r="I1782" s="1508"/>
      <c r="J1782" s="1508"/>
      <c r="K1782" s="1509"/>
      <c r="L1782" s="1509"/>
      <c r="M1782" s="1509"/>
      <c r="N1782" s="1509"/>
      <c r="O1782" s="1509"/>
      <c r="P1782" s="1509"/>
      <c r="Q1782" s="1314"/>
      <c r="R1782" s="1314"/>
      <c r="S1782" s="1314"/>
      <c r="T1782" s="1314"/>
      <c r="U1782" s="1314"/>
      <c r="V1782" s="1314"/>
      <c r="W1782" s="1314"/>
      <c r="X1782" s="1314"/>
      <c r="Y1782" s="1314"/>
      <c r="Z1782" s="1314"/>
    </row>
    <row r="1783" spans="1:26" ht="18.75">
      <c r="A1783" s="1393"/>
      <c r="B1783" s="1393"/>
      <c r="C1783" s="1393"/>
      <c r="D1783" s="1506"/>
      <c r="E1783" s="1393"/>
      <c r="F1783" s="1393"/>
      <c r="G1783" s="1393"/>
      <c r="H1783" s="1507"/>
      <c r="I1783" s="1508"/>
      <c r="J1783" s="1508"/>
      <c r="K1783" s="1509"/>
      <c r="L1783" s="1509"/>
      <c r="M1783" s="1509"/>
      <c r="N1783" s="1509"/>
      <c r="O1783" s="1509"/>
      <c r="P1783" s="1509"/>
      <c r="Q1783" s="1314"/>
      <c r="R1783" s="1314"/>
      <c r="S1783" s="1314"/>
      <c r="T1783" s="1314"/>
      <c r="U1783" s="1314"/>
      <c r="V1783" s="1314"/>
      <c r="W1783" s="1314"/>
      <c r="X1783" s="1314"/>
      <c r="Y1783" s="1314"/>
      <c r="Z1783" s="1314"/>
    </row>
    <row r="1784" spans="1:26" ht="18.75">
      <c r="A1784" s="1393"/>
      <c r="B1784" s="1393"/>
      <c r="C1784" s="1393"/>
      <c r="D1784" s="1506"/>
      <c r="E1784" s="1393"/>
      <c r="F1784" s="1393"/>
      <c r="G1784" s="1393"/>
      <c r="H1784" s="1507"/>
      <c r="I1784" s="1508"/>
      <c r="J1784" s="1508"/>
      <c r="K1784" s="1509"/>
      <c r="L1784" s="1509"/>
      <c r="M1784" s="1509"/>
      <c r="N1784" s="1509"/>
      <c r="O1784" s="1509"/>
      <c r="P1784" s="1509"/>
      <c r="Q1784" s="1314"/>
      <c r="R1784" s="1314"/>
      <c r="S1784" s="1314"/>
      <c r="T1784" s="1314"/>
      <c r="U1784" s="1314"/>
      <c r="V1784" s="1314"/>
      <c r="W1784" s="1314"/>
      <c r="X1784" s="1314"/>
      <c r="Y1784" s="1314"/>
      <c r="Z1784" s="1314"/>
    </row>
    <row r="1785" spans="1:26" ht="18.75">
      <c r="A1785" s="1393"/>
      <c r="B1785" s="1393"/>
      <c r="C1785" s="1393"/>
      <c r="D1785" s="1506"/>
      <c r="E1785" s="1393"/>
      <c r="F1785" s="1393"/>
      <c r="G1785" s="1393"/>
      <c r="H1785" s="1507"/>
      <c r="I1785" s="1508"/>
      <c r="J1785" s="1508"/>
      <c r="K1785" s="1509"/>
      <c r="L1785" s="1509"/>
      <c r="M1785" s="1509"/>
      <c r="N1785" s="1509"/>
      <c r="O1785" s="1509"/>
      <c r="P1785" s="1509"/>
      <c r="Q1785" s="1314"/>
      <c r="R1785" s="1314"/>
      <c r="S1785" s="1314"/>
      <c r="T1785" s="1314"/>
      <c r="U1785" s="1314"/>
      <c r="V1785" s="1314"/>
      <c r="W1785" s="1314"/>
      <c r="X1785" s="1314"/>
      <c r="Y1785" s="1314"/>
      <c r="Z1785" s="1314"/>
    </row>
    <row r="1786" spans="1:26" ht="18.75">
      <c r="A1786" s="1393"/>
      <c r="B1786" s="1393"/>
      <c r="C1786" s="1393"/>
      <c r="D1786" s="1506"/>
      <c r="E1786" s="1393"/>
      <c r="F1786" s="1393"/>
      <c r="G1786" s="1393"/>
      <c r="H1786" s="1507"/>
      <c r="I1786" s="1508"/>
      <c r="J1786" s="1508"/>
      <c r="K1786" s="1509"/>
      <c r="L1786" s="1509"/>
      <c r="M1786" s="1509"/>
      <c r="N1786" s="1509"/>
      <c r="O1786" s="1509"/>
      <c r="P1786" s="1509"/>
      <c r="Q1786" s="1314"/>
      <c r="R1786" s="1314"/>
      <c r="S1786" s="1314"/>
      <c r="T1786" s="1314"/>
      <c r="U1786" s="1314"/>
      <c r="V1786" s="1314"/>
      <c r="W1786" s="1314"/>
      <c r="X1786" s="1314"/>
      <c r="Y1786" s="1314"/>
      <c r="Z1786" s="1314"/>
    </row>
    <row r="1787" spans="1:26" ht="18.75">
      <c r="A1787" s="1393"/>
      <c r="B1787" s="1393"/>
      <c r="C1787" s="1393"/>
      <c r="D1787" s="1506"/>
      <c r="E1787" s="1393"/>
      <c r="F1787" s="1393"/>
      <c r="G1787" s="1393"/>
      <c r="H1787" s="1507"/>
      <c r="I1787" s="1508"/>
      <c r="J1787" s="1508"/>
      <c r="K1787" s="1509"/>
      <c r="L1787" s="1509"/>
      <c r="M1787" s="1509"/>
      <c r="N1787" s="1509"/>
      <c r="O1787" s="1509"/>
      <c r="P1787" s="1509"/>
      <c r="Q1787" s="1314"/>
      <c r="R1787" s="1314"/>
      <c r="S1787" s="1314"/>
      <c r="T1787" s="1314"/>
      <c r="U1787" s="1314"/>
      <c r="V1787" s="1314"/>
      <c r="W1787" s="1314"/>
      <c r="X1787" s="1314"/>
      <c r="Y1787" s="1314"/>
      <c r="Z1787" s="1314"/>
    </row>
    <row r="1788" spans="1:26" ht="18.75">
      <c r="A1788" s="1393"/>
      <c r="B1788" s="1393"/>
      <c r="C1788" s="1393"/>
      <c r="D1788" s="1506"/>
      <c r="E1788" s="1393"/>
      <c r="F1788" s="1393"/>
      <c r="G1788" s="1393"/>
      <c r="H1788" s="1507"/>
      <c r="I1788" s="1508"/>
      <c r="J1788" s="1508"/>
      <c r="K1788" s="1509"/>
      <c r="L1788" s="1509"/>
      <c r="M1788" s="1509"/>
      <c r="N1788" s="1509"/>
      <c r="O1788" s="1509"/>
      <c r="P1788" s="1509"/>
      <c r="Q1788" s="1314"/>
      <c r="R1788" s="1314"/>
      <c r="S1788" s="1314"/>
      <c r="T1788" s="1314"/>
      <c r="U1788" s="1314"/>
      <c r="V1788" s="1314"/>
      <c r="W1788" s="1314"/>
      <c r="X1788" s="1314"/>
      <c r="Y1788" s="1314"/>
      <c r="Z1788" s="1314"/>
    </row>
    <row r="1789" spans="1:26" ht="18.75">
      <c r="A1789" s="1393"/>
      <c r="B1789" s="1393"/>
      <c r="C1789" s="1393"/>
      <c r="D1789" s="1506"/>
      <c r="E1789" s="1393"/>
      <c r="F1789" s="1393"/>
      <c r="G1789" s="1393"/>
      <c r="H1789" s="1507"/>
      <c r="I1789" s="1508"/>
      <c r="J1789" s="1508"/>
      <c r="K1789" s="1509"/>
      <c r="L1789" s="1509"/>
      <c r="M1789" s="1509"/>
      <c r="N1789" s="1509"/>
      <c r="O1789" s="1509"/>
      <c r="P1789" s="1509"/>
      <c r="Q1789" s="1314"/>
      <c r="R1789" s="1314"/>
      <c r="S1789" s="1314"/>
      <c r="T1789" s="1314"/>
      <c r="U1789" s="1314"/>
      <c r="V1789" s="1314"/>
      <c r="W1789" s="1314"/>
      <c r="X1789" s="1314"/>
      <c r="Y1789" s="1314"/>
      <c r="Z1789" s="1314"/>
    </row>
    <row r="1790" spans="1:26" ht="18.75">
      <c r="A1790" s="1393"/>
      <c r="B1790" s="1393"/>
      <c r="C1790" s="1393"/>
      <c r="D1790" s="1506"/>
      <c r="E1790" s="1393"/>
      <c r="F1790" s="1393"/>
      <c r="G1790" s="1393"/>
      <c r="H1790" s="1507"/>
      <c r="I1790" s="1508"/>
      <c r="J1790" s="1508"/>
      <c r="K1790" s="1509"/>
      <c r="L1790" s="1509"/>
      <c r="M1790" s="1509"/>
      <c r="N1790" s="1509"/>
      <c r="O1790" s="1509"/>
      <c r="P1790" s="1509"/>
      <c r="Q1790" s="1314"/>
      <c r="R1790" s="1314"/>
      <c r="S1790" s="1314"/>
      <c r="T1790" s="1314"/>
      <c r="U1790" s="1314"/>
      <c r="V1790" s="1314"/>
      <c r="W1790" s="1314"/>
      <c r="X1790" s="1314"/>
      <c r="Y1790" s="1314"/>
      <c r="Z1790" s="1314"/>
    </row>
    <row r="1791" spans="1:26" ht="18.75">
      <c r="A1791" s="1393"/>
      <c r="B1791" s="1393"/>
      <c r="C1791" s="1393"/>
      <c r="D1791" s="1506"/>
      <c r="E1791" s="1393"/>
      <c r="F1791" s="1393"/>
      <c r="G1791" s="1393"/>
      <c r="H1791" s="1507"/>
      <c r="I1791" s="1508"/>
      <c r="J1791" s="1508"/>
      <c r="K1791" s="1509"/>
      <c r="L1791" s="1509"/>
      <c r="M1791" s="1509"/>
      <c r="N1791" s="1509"/>
      <c r="O1791" s="1509"/>
      <c r="P1791" s="1509"/>
      <c r="Q1791" s="1314"/>
      <c r="R1791" s="1314"/>
      <c r="S1791" s="1314"/>
      <c r="T1791" s="1314"/>
      <c r="U1791" s="1314"/>
      <c r="V1791" s="1314"/>
      <c r="W1791" s="1314"/>
      <c r="X1791" s="1314"/>
      <c r="Y1791" s="1314"/>
      <c r="Z1791" s="1314"/>
    </row>
    <row r="1792" spans="1:26" ht="18.75">
      <c r="A1792" s="1393"/>
      <c r="B1792" s="1393"/>
      <c r="C1792" s="1393"/>
      <c r="D1792" s="1506"/>
      <c r="E1792" s="1393"/>
      <c r="F1792" s="1393"/>
      <c r="G1792" s="1393"/>
      <c r="H1792" s="1507"/>
      <c r="I1792" s="1508"/>
      <c r="J1792" s="1508"/>
      <c r="K1792" s="1509"/>
      <c r="L1792" s="1509"/>
      <c r="M1792" s="1509"/>
      <c r="N1792" s="1509"/>
      <c r="O1792" s="1509"/>
      <c r="P1792" s="1509"/>
      <c r="Q1792" s="1314"/>
      <c r="R1792" s="1314"/>
      <c r="S1792" s="1314"/>
      <c r="T1792" s="1314"/>
      <c r="U1792" s="1314"/>
      <c r="V1792" s="1314"/>
      <c r="W1792" s="1314"/>
      <c r="X1792" s="1314"/>
      <c r="Y1792" s="1314"/>
      <c r="Z1792" s="1314"/>
    </row>
    <row r="1793" spans="1:26" ht="18.75">
      <c r="A1793" s="1393"/>
      <c r="B1793" s="1393"/>
      <c r="C1793" s="1393"/>
      <c r="D1793" s="1506"/>
      <c r="E1793" s="1393"/>
      <c r="F1793" s="1393"/>
      <c r="G1793" s="1393"/>
      <c r="H1793" s="1507"/>
      <c r="I1793" s="1508"/>
      <c r="J1793" s="1508"/>
      <c r="K1793" s="1509"/>
      <c r="L1793" s="1509"/>
      <c r="M1793" s="1509"/>
      <c r="N1793" s="1509"/>
      <c r="O1793" s="1509"/>
      <c r="P1793" s="1509"/>
      <c r="Q1793" s="1314"/>
      <c r="R1793" s="1314"/>
      <c r="S1793" s="1314"/>
      <c r="T1793" s="1314"/>
      <c r="U1793" s="1314"/>
      <c r="V1793" s="1314"/>
      <c r="W1793" s="1314"/>
      <c r="X1793" s="1314"/>
      <c r="Y1793" s="1314"/>
      <c r="Z1793" s="1314"/>
    </row>
    <row r="1794" spans="1:26" ht="18.75">
      <c r="A1794" s="1393"/>
      <c r="B1794" s="1393"/>
      <c r="C1794" s="1393"/>
      <c r="D1794" s="1506"/>
      <c r="E1794" s="1393"/>
      <c r="F1794" s="1393"/>
      <c r="G1794" s="1393"/>
      <c r="H1794" s="1507"/>
      <c r="I1794" s="1508"/>
      <c r="J1794" s="1508"/>
      <c r="K1794" s="1509"/>
      <c r="L1794" s="1509"/>
      <c r="M1794" s="1509"/>
      <c r="N1794" s="1509"/>
      <c r="O1794" s="1509"/>
      <c r="P1794" s="1509"/>
      <c r="Q1794" s="1314"/>
      <c r="R1794" s="1314"/>
      <c r="S1794" s="1314"/>
      <c r="T1794" s="1314"/>
      <c r="U1794" s="1314"/>
      <c r="V1794" s="1314"/>
      <c r="W1794" s="1314"/>
      <c r="X1794" s="1314"/>
      <c r="Y1794" s="1314"/>
      <c r="Z1794" s="1314"/>
    </row>
    <row r="1795" spans="1:26" ht="18.75">
      <c r="A1795" s="1393"/>
      <c r="B1795" s="1393"/>
      <c r="C1795" s="1393"/>
      <c r="D1795" s="1506"/>
      <c r="E1795" s="1393"/>
      <c r="F1795" s="1393"/>
      <c r="G1795" s="1393"/>
      <c r="H1795" s="1507"/>
      <c r="I1795" s="1508"/>
      <c r="J1795" s="1508"/>
      <c r="K1795" s="1509"/>
      <c r="L1795" s="1509"/>
      <c r="M1795" s="1509"/>
      <c r="N1795" s="1509"/>
      <c r="O1795" s="1509"/>
      <c r="P1795" s="1509"/>
      <c r="Q1795" s="1314"/>
      <c r="R1795" s="1314"/>
      <c r="S1795" s="1314"/>
      <c r="T1795" s="1314"/>
      <c r="U1795" s="1314"/>
      <c r="V1795" s="1314"/>
      <c r="W1795" s="1314"/>
      <c r="X1795" s="1314"/>
      <c r="Y1795" s="1314"/>
      <c r="Z1795" s="1314"/>
    </row>
    <row r="1796" spans="1:26" ht="18.75">
      <c r="A1796" s="1393"/>
      <c r="B1796" s="1393"/>
      <c r="C1796" s="1393"/>
      <c r="D1796" s="1506"/>
      <c r="E1796" s="1393"/>
      <c r="F1796" s="1393"/>
      <c r="G1796" s="1393"/>
      <c r="H1796" s="1507"/>
      <c r="I1796" s="1508"/>
      <c r="J1796" s="1508"/>
      <c r="K1796" s="1509"/>
      <c r="L1796" s="1509"/>
      <c r="M1796" s="1509"/>
      <c r="N1796" s="1509"/>
      <c r="O1796" s="1509"/>
      <c r="P1796" s="1509"/>
      <c r="Q1796" s="1314"/>
      <c r="R1796" s="1314"/>
      <c r="S1796" s="1314"/>
      <c r="T1796" s="1314"/>
      <c r="U1796" s="1314"/>
      <c r="V1796" s="1314"/>
      <c r="W1796" s="1314"/>
      <c r="X1796" s="1314"/>
      <c r="Y1796" s="1314"/>
      <c r="Z1796" s="1314"/>
    </row>
    <row r="1797" spans="1:26" ht="18.75">
      <c r="A1797" s="1393"/>
      <c r="B1797" s="1393"/>
      <c r="C1797" s="1393"/>
      <c r="D1797" s="1506"/>
      <c r="E1797" s="1393"/>
      <c r="F1797" s="1393"/>
      <c r="G1797" s="1393"/>
      <c r="H1797" s="1507"/>
      <c r="I1797" s="1508"/>
      <c r="J1797" s="1508"/>
      <c r="K1797" s="1509"/>
      <c r="L1797" s="1509"/>
      <c r="M1797" s="1509"/>
      <c r="N1797" s="1509"/>
      <c r="O1797" s="1509"/>
      <c r="P1797" s="1509"/>
      <c r="Q1797" s="1314"/>
      <c r="R1797" s="1314"/>
      <c r="S1797" s="1314"/>
      <c r="T1797" s="1314"/>
      <c r="U1797" s="1314"/>
      <c r="V1797" s="1314"/>
      <c r="W1797" s="1314"/>
      <c r="X1797" s="1314"/>
      <c r="Y1797" s="1314"/>
      <c r="Z1797" s="1314"/>
    </row>
    <row r="1798" spans="1:26" ht="18.75">
      <c r="A1798" s="1393"/>
      <c r="B1798" s="1393"/>
      <c r="C1798" s="1393"/>
      <c r="D1798" s="1506"/>
      <c r="E1798" s="1393"/>
      <c r="F1798" s="1393"/>
      <c r="G1798" s="1393"/>
      <c r="H1798" s="1507"/>
      <c r="I1798" s="1508"/>
      <c r="J1798" s="1508"/>
      <c r="K1798" s="1509"/>
      <c r="L1798" s="1509"/>
      <c r="M1798" s="1509"/>
      <c r="N1798" s="1509"/>
      <c r="O1798" s="1509"/>
      <c r="P1798" s="1509"/>
      <c r="Q1798" s="1314"/>
      <c r="R1798" s="1314"/>
      <c r="S1798" s="1314"/>
      <c r="T1798" s="1314"/>
      <c r="U1798" s="1314"/>
      <c r="V1798" s="1314"/>
      <c r="W1798" s="1314"/>
      <c r="X1798" s="1314"/>
      <c r="Y1798" s="1314"/>
      <c r="Z1798" s="1314"/>
    </row>
    <row r="1799" spans="1:26" ht="18.75">
      <c r="A1799" s="1393"/>
      <c r="B1799" s="1393"/>
      <c r="C1799" s="1393"/>
      <c r="D1799" s="1506"/>
      <c r="E1799" s="1393"/>
      <c r="F1799" s="1393"/>
      <c r="G1799" s="1393"/>
      <c r="H1799" s="1507"/>
      <c r="I1799" s="1508"/>
      <c r="J1799" s="1508"/>
      <c r="K1799" s="1509"/>
      <c r="L1799" s="1509"/>
      <c r="M1799" s="1509"/>
      <c r="N1799" s="1509"/>
      <c r="O1799" s="1509"/>
      <c r="P1799" s="1509"/>
      <c r="Q1799" s="1314"/>
      <c r="R1799" s="1314"/>
      <c r="S1799" s="1314"/>
      <c r="T1799" s="1314"/>
      <c r="U1799" s="1314"/>
      <c r="V1799" s="1314"/>
      <c r="W1799" s="1314"/>
      <c r="X1799" s="1314"/>
      <c r="Y1799" s="1314"/>
      <c r="Z1799" s="1314"/>
    </row>
    <row r="1800" spans="1:26" ht="18.75">
      <c r="A1800" s="1393"/>
      <c r="B1800" s="1393"/>
      <c r="C1800" s="1393"/>
      <c r="D1800" s="1506"/>
      <c r="E1800" s="1393"/>
      <c r="F1800" s="1393"/>
      <c r="G1800" s="1393"/>
      <c r="H1800" s="1507"/>
      <c r="I1800" s="1508"/>
      <c r="J1800" s="1508"/>
      <c r="K1800" s="1509"/>
      <c r="L1800" s="1509"/>
      <c r="M1800" s="1509"/>
      <c r="N1800" s="1509"/>
      <c r="O1800" s="1509"/>
      <c r="P1800" s="1509"/>
      <c r="Q1800" s="1314"/>
      <c r="R1800" s="1314"/>
      <c r="S1800" s="1314"/>
      <c r="T1800" s="1314"/>
      <c r="U1800" s="1314"/>
      <c r="V1800" s="1314"/>
      <c r="W1800" s="1314"/>
      <c r="X1800" s="1314"/>
      <c r="Y1800" s="1314"/>
      <c r="Z1800" s="1314"/>
    </row>
    <row r="1801" spans="1:26" ht="18.75">
      <c r="A1801" s="1393"/>
      <c r="B1801" s="1393"/>
      <c r="C1801" s="1393"/>
      <c r="D1801" s="1506"/>
      <c r="E1801" s="1393"/>
      <c r="F1801" s="1393"/>
      <c r="G1801" s="1393"/>
      <c r="H1801" s="1507"/>
      <c r="I1801" s="1508"/>
      <c r="J1801" s="1508"/>
      <c r="K1801" s="1509"/>
      <c r="L1801" s="1509"/>
      <c r="M1801" s="1509"/>
      <c r="N1801" s="1509"/>
      <c r="O1801" s="1509"/>
      <c r="P1801" s="1509"/>
      <c r="Q1801" s="1314"/>
      <c r="R1801" s="1314"/>
      <c r="S1801" s="1314"/>
      <c r="T1801" s="1314"/>
      <c r="U1801" s="1314"/>
      <c r="V1801" s="1314"/>
      <c r="W1801" s="1314"/>
      <c r="X1801" s="1314"/>
      <c r="Y1801" s="1314"/>
      <c r="Z1801" s="1314"/>
    </row>
    <row r="1802" spans="1:26" ht="18.75">
      <c r="A1802" s="1393"/>
      <c r="B1802" s="1393"/>
      <c r="C1802" s="1393"/>
      <c r="D1802" s="1506"/>
      <c r="E1802" s="1393"/>
      <c r="F1802" s="1393"/>
      <c r="G1802" s="1393"/>
      <c r="H1802" s="1507"/>
      <c r="I1802" s="1508"/>
      <c r="J1802" s="1508"/>
      <c r="K1802" s="1509"/>
      <c r="L1802" s="1509"/>
      <c r="M1802" s="1509"/>
      <c r="N1802" s="1509"/>
      <c r="O1802" s="1509"/>
      <c r="P1802" s="1509"/>
      <c r="Q1802" s="1314"/>
      <c r="R1802" s="1314"/>
      <c r="S1802" s="1314"/>
      <c r="T1802" s="1314"/>
      <c r="U1802" s="1314"/>
      <c r="V1802" s="1314"/>
      <c r="W1802" s="1314"/>
      <c r="X1802" s="1314"/>
      <c r="Y1802" s="1314"/>
      <c r="Z1802" s="1314"/>
    </row>
    <row r="1803" spans="1:26" ht="18.75">
      <c r="A1803" s="1393"/>
      <c r="B1803" s="1393"/>
      <c r="C1803" s="1393"/>
      <c r="D1803" s="1506"/>
      <c r="E1803" s="1393"/>
      <c r="F1803" s="1393"/>
      <c r="G1803" s="1393"/>
      <c r="H1803" s="1507"/>
      <c r="I1803" s="1508"/>
      <c r="J1803" s="1508"/>
      <c r="K1803" s="1509"/>
      <c r="L1803" s="1509"/>
      <c r="M1803" s="1509"/>
      <c r="N1803" s="1509"/>
      <c r="O1803" s="1509"/>
      <c r="P1803" s="1509"/>
      <c r="Q1803" s="1314"/>
      <c r="R1803" s="1314"/>
      <c r="S1803" s="1314"/>
      <c r="T1803" s="1314"/>
      <c r="U1803" s="1314"/>
      <c r="V1803" s="1314"/>
      <c r="W1803" s="1314"/>
      <c r="X1803" s="1314"/>
      <c r="Y1803" s="1314"/>
      <c r="Z1803" s="1314"/>
    </row>
    <row r="1804" spans="1:26" ht="18.75">
      <c r="A1804" s="1393"/>
      <c r="B1804" s="1393"/>
      <c r="C1804" s="1393"/>
      <c r="D1804" s="1506"/>
      <c r="E1804" s="1393"/>
      <c r="F1804" s="1393"/>
      <c r="G1804" s="1393"/>
      <c r="H1804" s="1507"/>
      <c r="I1804" s="1508"/>
      <c r="J1804" s="1508"/>
      <c r="K1804" s="1509"/>
      <c r="L1804" s="1509"/>
      <c r="M1804" s="1509"/>
      <c r="N1804" s="1509"/>
      <c r="O1804" s="1509"/>
      <c r="P1804" s="1509"/>
      <c r="Q1804" s="1314"/>
      <c r="R1804" s="1314"/>
      <c r="S1804" s="1314"/>
      <c r="T1804" s="1314"/>
      <c r="U1804" s="1314"/>
      <c r="V1804" s="1314"/>
      <c r="W1804" s="1314"/>
      <c r="X1804" s="1314"/>
      <c r="Y1804" s="1314"/>
      <c r="Z1804" s="1314"/>
    </row>
    <row r="1805" spans="1:26" ht="18.75">
      <c r="A1805" s="1393"/>
      <c r="B1805" s="1393"/>
      <c r="C1805" s="1393"/>
      <c r="D1805" s="1506"/>
      <c r="E1805" s="1393"/>
      <c r="F1805" s="1393"/>
      <c r="G1805" s="1393"/>
      <c r="H1805" s="1507"/>
      <c r="I1805" s="1508"/>
      <c r="J1805" s="1508"/>
      <c r="K1805" s="1509"/>
      <c r="L1805" s="1509"/>
      <c r="M1805" s="1509"/>
      <c r="N1805" s="1509"/>
      <c r="O1805" s="1509"/>
      <c r="P1805" s="1509"/>
      <c r="Q1805" s="1314"/>
      <c r="R1805" s="1314"/>
      <c r="S1805" s="1314"/>
      <c r="T1805" s="1314"/>
      <c r="U1805" s="1314"/>
      <c r="V1805" s="1314"/>
      <c r="W1805" s="1314"/>
      <c r="X1805" s="1314"/>
      <c r="Y1805" s="1314"/>
      <c r="Z1805" s="1314"/>
    </row>
    <row r="1806" spans="1:26" ht="18.75">
      <c r="A1806" s="1393"/>
      <c r="B1806" s="1393"/>
      <c r="C1806" s="1393"/>
      <c r="D1806" s="1506"/>
      <c r="E1806" s="1393"/>
      <c r="F1806" s="1393"/>
      <c r="G1806" s="1393"/>
      <c r="H1806" s="1507"/>
      <c r="I1806" s="1508"/>
      <c r="J1806" s="1508"/>
      <c r="K1806" s="1509"/>
      <c r="L1806" s="1509"/>
      <c r="M1806" s="1509"/>
      <c r="N1806" s="1509"/>
      <c r="O1806" s="1509"/>
      <c r="P1806" s="1509"/>
      <c r="Q1806" s="1314"/>
      <c r="R1806" s="1314"/>
      <c r="S1806" s="1314"/>
      <c r="T1806" s="1314"/>
      <c r="U1806" s="1314"/>
      <c r="V1806" s="1314"/>
      <c r="W1806" s="1314"/>
      <c r="X1806" s="1314"/>
      <c r="Y1806" s="1314"/>
      <c r="Z1806" s="1314"/>
    </row>
    <row r="1807" spans="1:26" ht="18.75">
      <c r="A1807" s="1393"/>
      <c r="B1807" s="1393"/>
      <c r="C1807" s="1393"/>
      <c r="D1807" s="1506"/>
      <c r="E1807" s="1393"/>
      <c r="F1807" s="1393"/>
      <c r="G1807" s="1393"/>
      <c r="H1807" s="1507"/>
      <c r="I1807" s="1508"/>
      <c r="J1807" s="1508"/>
      <c r="K1807" s="1509"/>
      <c r="L1807" s="1509"/>
      <c r="M1807" s="1509"/>
      <c r="N1807" s="1509"/>
      <c r="O1807" s="1509"/>
      <c r="P1807" s="1509"/>
      <c r="Q1807" s="1314"/>
      <c r="R1807" s="1314"/>
      <c r="S1807" s="1314"/>
      <c r="T1807" s="1314"/>
      <c r="U1807" s="1314"/>
      <c r="V1807" s="1314"/>
      <c r="W1807" s="1314"/>
      <c r="X1807" s="1314"/>
      <c r="Y1807" s="1314"/>
      <c r="Z1807" s="1314"/>
    </row>
    <row r="1808" spans="1:26" ht="18.75">
      <c r="A1808" s="1393"/>
      <c r="B1808" s="1393"/>
      <c r="C1808" s="1393"/>
      <c r="D1808" s="1506"/>
      <c r="E1808" s="1393"/>
      <c r="F1808" s="1393"/>
      <c r="G1808" s="1393"/>
      <c r="H1808" s="1507"/>
      <c r="I1808" s="1508"/>
      <c r="J1808" s="1508"/>
      <c r="K1808" s="1509"/>
      <c r="L1808" s="1509"/>
      <c r="M1808" s="1509"/>
      <c r="N1808" s="1509"/>
      <c r="O1808" s="1509"/>
      <c r="P1808" s="1509"/>
      <c r="Q1808" s="1314"/>
      <c r="R1808" s="1314"/>
      <c r="S1808" s="1314"/>
      <c r="T1808" s="1314"/>
      <c r="U1808" s="1314"/>
      <c r="V1808" s="1314"/>
      <c r="W1808" s="1314"/>
      <c r="X1808" s="1314"/>
      <c r="Y1808" s="1314"/>
      <c r="Z1808" s="1314"/>
    </row>
    <row r="1809" spans="1:26" ht="18.75">
      <c r="A1809" s="1393"/>
      <c r="B1809" s="1393"/>
      <c r="C1809" s="1393"/>
      <c r="D1809" s="1506"/>
      <c r="E1809" s="1393"/>
      <c r="F1809" s="1393"/>
      <c r="G1809" s="1393"/>
      <c r="H1809" s="1507"/>
      <c r="I1809" s="1508"/>
      <c r="J1809" s="1508"/>
      <c r="K1809" s="1509"/>
      <c r="L1809" s="1509"/>
      <c r="M1809" s="1509"/>
      <c r="N1809" s="1509"/>
      <c r="O1809" s="1509"/>
      <c r="P1809" s="1509"/>
      <c r="Q1809" s="1314"/>
      <c r="R1809" s="1314"/>
      <c r="S1809" s="1314"/>
      <c r="T1809" s="1314"/>
      <c r="U1809" s="1314"/>
      <c r="V1809" s="1314"/>
      <c r="W1809" s="1314"/>
      <c r="X1809" s="1314"/>
      <c r="Y1809" s="1314"/>
      <c r="Z1809" s="1314"/>
    </row>
    <row r="1810" spans="1:26" ht="18.75">
      <c r="A1810" s="1393"/>
      <c r="B1810" s="1393"/>
      <c r="C1810" s="1393"/>
      <c r="D1810" s="1506"/>
      <c r="E1810" s="1393"/>
      <c r="F1810" s="1393"/>
      <c r="G1810" s="1393"/>
      <c r="H1810" s="1507"/>
      <c r="I1810" s="1508"/>
      <c r="J1810" s="1508"/>
      <c r="K1810" s="1509"/>
      <c r="L1810" s="1509"/>
      <c r="M1810" s="1509"/>
      <c r="N1810" s="1509"/>
      <c r="O1810" s="1509"/>
      <c r="P1810" s="1509"/>
      <c r="Q1810" s="1314"/>
      <c r="R1810" s="1314"/>
      <c r="S1810" s="1314"/>
      <c r="T1810" s="1314"/>
      <c r="U1810" s="1314"/>
      <c r="V1810" s="1314"/>
      <c r="W1810" s="1314"/>
      <c r="X1810" s="1314"/>
      <c r="Y1810" s="1314"/>
      <c r="Z1810" s="1314"/>
    </row>
    <row r="1811" spans="1:26" ht="18.75">
      <c r="A1811" s="1393"/>
      <c r="B1811" s="1393"/>
      <c r="C1811" s="1393"/>
      <c r="D1811" s="1506"/>
      <c r="E1811" s="1393"/>
      <c r="F1811" s="1393"/>
      <c r="G1811" s="1393"/>
      <c r="H1811" s="1507"/>
      <c r="I1811" s="1508"/>
      <c r="J1811" s="1508"/>
      <c r="K1811" s="1509"/>
      <c r="L1811" s="1509"/>
      <c r="M1811" s="1509"/>
      <c r="N1811" s="1509"/>
      <c r="O1811" s="1509"/>
      <c r="P1811" s="1509"/>
      <c r="Q1811" s="1314"/>
      <c r="R1811" s="1314"/>
      <c r="S1811" s="1314"/>
      <c r="T1811" s="1314"/>
      <c r="U1811" s="1314"/>
      <c r="V1811" s="1314"/>
      <c r="W1811" s="1314"/>
      <c r="X1811" s="1314"/>
      <c r="Y1811" s="1314"/>
      <c r="Z1811" s="1314"/>
    </row>
    <row r="1812" spans="1:26" ht="18.75">
      <c r="A1812" s="1393"/>
      <c r="B1812" s="1393"/>
      <c r="C1812" s="1393"/>
      <c r="D1812" s="1506"/>
      <c r="E1812" s="1393"/>
      <c r="F1812" s="1393"/>
      <c r="G1812" s="1393"/>
      <c r="H1812" s="1507"/>
      <c r="I1812" s="1508"/>
      <c r="J1812" s="1508"/>
      <c r="K1812" s="1509"/>
      <c r="L1812" s="1509"/>
      <c r="M1812" s="1509"/>
      <c r="N1812" s="1509"/>
      <c r="O1812" s="1509"/>
      <c r="P1812" s="1509"/>
      <c r="Q1812" s="1314"/>
      <c r="R1812" s="1314"/>
      <c r="S1812" s="1314"/>
      <c r="T1812" s="1314"/>
      <c r="U1812" s="1314"/>
      <c r="V1812" s="1314"/>
      <c r="W1812" s="1314"/>
      <c r="X1812" s="1314"/>
      <c r="Y1812" s="1314"/>
      <c r="Z1812" s="1314"/>
    </row>
    <row r="1813" spans="1:26" ht="18.75">
      <c r="A1813" s="1393"/>
      <c r="B1813" s="1393"/>
      <c r="C1813" s="1393"/>
      <c r="D1813" s="1506"/>
      <c r="E1813" s="1393"/>
      <c r="F1813" s="1393"/>
      <c r="G1813" s="1393"/>
      <c r="H1813" s="1507"/>
      <c r="I1813" s="1508"/>
      <c r="J1813" s="1508"/>
      <c r="K1813" s="1509"/>
      <c r="L1813" s="1509"/>
      <c r="M1813" s="1509"/>
      <c r="N1813" s="1509"/>
      <c r="O1813" s="1509"/>
      <c r="P1813" s="1509"/>
      <c r="Q1813" s="1314"/>
      <c r="R1813" s="1314"/>
      <c r="S1813" s="1314"/>
      <c r="T1813" s="1314"/>
      <c r="U1813" s="1314"/>
      <c r="V1813" s="1314"/>
      <c r="W1813" s="1314"/>
      <c r="X1813" s="1314"/>
      <c r="Y1813" s="1314"/>
      <c r="Z1813" s="1314"/>
    </row>
    <row r="1814" spans="1:26" ht="18.75">
      <c r="A1814" s="1393"/>
      <c r="B1814" s="1393"/>
      <c r="C1814" s="1393"/>
      <c r="D1814" s="1506"/>
      <c r="E1814" s="1393"/>
      <c r="F1814" s="1393"/>
      <c r="G1814" s="1393"/>
      <c r="H1814" s="1507"/>
      <c r="I1814" s="1508"/>
      <c r="J1814" s="1508"/>
      <c r="K1814" s="1509"/>
      <c r="L1814" s="1509"/>
      <c r="M1814" s="1509"/>
      <c r="N1814" s="1509"/>
      <c r="O1814" s="1509"/>
      <c r="P1814" s="1509"/>
      <c r="Q1814" s="1314"/>
      <c r="R1814" s="1314"/>
      <c r="S1814" s="1314"/>
      <c r="T1814" s="1314"/>
      <c r="U1814" s="1314"/>
      <c r="V1814" s="1314"/>
      <c r="W1814" s="1314"/>
      <c r="X1814" s="1314"/>
      <c r="Y1814" s="1314"/>
      <c r="Z1814" s="1314"/>
    </row>
    <row r="1815" spans="1:26" ht="18.75">
      <c r="A1815" s="1393"/>
      <c r="B1815" s="1393"/>
      <c r="C1815" s="1393"/>
      <c r="D1815" s="1506"/>
      <c r="E1815" s="1393"/>
      <c r="F1815" s="1393"/>
      <c r="G1815" s="1393"/>
      <c r="H1815" s="1507"/>
      <c r="I1815" s="1508"/>
      <c r="J1815" s="1508"/>
      <c r="K1815" s="1509"/>
      <c r="L1815" s="1509"/>
      <c r="M1815" s="1509"/>
      <c r="N1815" s="1509"/>
      <c r="O1815" s="1509"/>
      <c r="P1815" s="1509"/>
      <c r="Q1815" s="1314"/>
      <c r="R1815" s="1314"/>
      <c r="S1815" s="1314"/>
      <c r="T1815" s="1314"/>
      <c r="U1815" s="1314"/>
      <c r="V1815" s="1314"/>
      <c r="W1815" s="1314"/>
      <c r="X1815" s="1314"/>
      <c r="Y1815" s="1314"/>
      <c r="Z1815" s="1314"/>
    </row>
    <row r="1816" spans="1:26" ht="18.75">
      <c r="A1816" s="1393"/>
      <c r="B1816" s="1393"/>
      <c r="C1816" s="1393"/>
      <c r="D1816" s="1506"/>
      <c r="E1816" s="1393"/>
      <c r="F1816" s="1393"/>
      <c r="G1816" s="1393"/>
      <c r="H1816" s="1507"/>
      <c r="I1816" s="1508"/>
      <c r="J1816" s="1508"/>
      <c r="K1816" s="1509"/>
      <c r="L1816" s="1509"/>
      <c r="M1816" s="1509"/>
      <c r="N1816" s="1509"/>
      <c r="O1816" s="1509"/>
      <c r="P1816" s="1509"/>
      <c r="Q1816" s="1314"/>
      <c r="R1816" s="1314"/>
      <c r="S1816" s="1314"/>
      <c r="T1816" s="1314"/>
      <c r="U1816" s="1314"/>
      <c r="V1816" s="1314"/>
      <c r="W1816" s="1314"/>
      <c r="X1816" s="1314"/>
      <c r="Y1816" s="1314"/>
      <c r="Z1816" s="1314"/>
    </row>
    <row r="1817" spans="1:26" ht="18.75">
      <c r="A1817" s="1393"/>
      <c r="B1817" s="1393"/>
      <c r="C1817" s="1393"/>
      <c r="D1817" s="1506"/>
      <c r="E1817" s="1393"/>
      <c r="F1817" s="1393"/>
      <c r="G1817" s="1393"/>
      <c r="H1817" s="1507"/>
      <c r="I1817" s="1508"/>
      <c r="J1817" s="1508"/>
      <c r="K1817" s="1509"/>
      <c r="L1817" s="1509"/>
      <c r="M1817" s="1509"/>
      <c r="N1817" s="1509"/>
      <c r="O1817" s="1509"/>
      <c r="P1817" s="1509"/>
      <c r="Q1817" s="1314"/>
      <c r="R1817" s="1314"/>
      <c r="S1817" s="1314"/>
      <c r="T1817" s="1314"/>
      <c r="U1817" s="1314"/>
      <c r="V1817" s="1314"/>
      <c r="W1817" s="1314"/>
      <c r="X1817" s="1314"/>
      <c r="Y1817" s="1314"/>
      <c r="Z1817" s="1314"/>
    </row>
    <row r="1818" spans="1:26" ht="18.75">
      <c r="A1818" s="1393"/>
      <c r="B1818" s="1393"/>
      <c r="C1818" s="1393"/>
      <c r="D1818" s="1506"/>
      <c r="E1818" s="1393"/>
      <c r="F1818" s="1393"/>
      <c r="G1818" s="1393"/>
      <c r="H1818" s="1507"/>
      <c r="I1818" s="1508"/>
      <c r="J1818" s="1508"/>
      <c r="K1818" s="1509"/>
      <c r="L1818" s="1509"/>
      <c r="M1818" s="1509"/>
      <c r="N1818" s="1509"/>
      <c r="O1818" s="1509"/>
      <c r="P1818" s="1509"/>
      <c r="Q1818" s="1314"/>
      <c r="R1818" s="1314"/>
      <c r="S1818" s="1314"/>
      <c r="T1818" s="1314"/>
      <c r="U1818" s="1314"/>
      <c r="V1818" s="1314"/>
      <c r="W1818" s="1314"/>
      <c r="X1818" s="1314"/>
      <c r="Y1818" s="1314"/>
      <c r="Z1818" s="1314"/>
    </row>
    <row r="1819" spans="1:26" ht="18.75">
      <c r="A1819" s="1393"/>
      <c r="B1819" s="1393"/>
      <c r="C1819" s="1393"/>
      <c r="D1819" s="1506"/>
      <c r="E1819" s="1393"/>
      <c r="F1819" s="1393"/>
      <c r="G1819" s="1393"/>
      <c r="H1819" s="1507"/>
      <c r="I1819" s="1508"/>
      <c r="J1819" s="1508"/>
      <c r="K1819" s="1509"/>
      <c r="L1819" s="1509"/>
      <c r="M1819" s="1509"/>
      <c r="N1819" s="1509"/>
      <c r="O1819" s="1509"/>
      <c r="P1819" s="1509"/>
      <c r="Q1819" s="1314"/>
      <c r="R1819" s="1314"/>
      <c r="S1819" s="1314"/>
      <c r="T1819" s="1314"/>
      <c r="U1819" s="1314"/>
      <c r="V1819" s="1314"/>
      <c r="W1819" s="1314"/>
      <c r="X1819" s="1314"/>
      <c r="Y1819" s="1314"/>
      <c r="Z1819" s="1314"/>
    </row>
    <row r="1820" spans="1:26" ht="18.75">
      <c r="A1820" s="1393"/>
      <c r="B1820" s="1393"/>
      <c r="C1820" s="1393"/>
      <c r="D1820" s="1506"/>
      <c r="E1820" s="1393"/>
      <c r="F1820" s="1393"/>
      <c r="G1820" s="1393"/>
      <c r="H1820" s="1507"/>
      <c r="I1820" s="1508"/>
      <c r="J1820" s="1508"/>
      <c r="K1820" s="1509"/>
      <c r="L1820" s="1509"/>
      <c r="M1820" s="1509"/>
      <c r="N1820" s="1509"/>
      <c r="O1820" s="1509"/>
      <c r="P1820" s="1509"/>
      <c r="Q1820" s="1314"/>
      <c r="R1820" s="1314"/>
      <c r="S1820" s="1314"/>
      <c r="T1820" s="1314"/>
      <c r="U1820" s="1314"/>
      <c r="V1820" s="1314"/>
      <c r="W1820" s="1314"/>
      <c r="X1820" s="1314"/>
      <c r="Y1820" s="1314"/>
      <c r="Z1820" s="1314"/>
    </row>
    <row r="1821" spans="1:26" ht="18.75">
      <c r="A1821" s="1393"/>
      <c r="B1821" s="1393"/>
      <c r="C1821" s="1393"/>
      <c r="D1821" s="1506"/>
      <c r="E1821" s="1393"/>
      <c r="F1821" s="1393"/>
      <c r="G1821" s="1393"/>
      <c r="H1821" s="1507"/>
      <c r="I1821" s="1508"/>
      <c r="J1821" s="1508"/>
      <c r="K1821" s="1509"/>
      <c r="L1821" s="1509"/>
      <c r="M1821" s="1509"/>
      <c r="N1821" s="1509"/>
      <c r="O1821" s="1509"/>
      <c r="P1821" s="1509"/>
      <c r="Q1821" s="1314"/>
      <c r="R1821" s="1314"/>
      <c r="S1821" s="1314"/>
      <c r="T1821" s="1314"/>
      <c r="U1821" s="1314"/>
      <c r="V1821" s="1314"/>
      <c r="W1821" s="1314"/>
      <c r="X1821" s="1314"/>
      <c r="Y1821" s="1314"/>
      <c r="Z1821" s="1314"/>
    </row>
    <row r="1822" spans="1:26" ht="18.75">
      <c r="A1822" s="1393"/>
      <c r="B1822" s="1393"/>
      <c r="C1822" s="1393"/>
      <c r="D1822" s="1506"/>
      <c r="E1822" s="1393"/>
      <c r="F1822" s="1393"/>
      <c r="G1822" s="1393"/>
      <c r="H1822" s="1507"/>
      <c r="I1822" s="1508"/>
      <c r="J1822" s="1508"/>
      <c r="K1822" s="1509"/>
      <c r="L1822" s="1509"/>
      <c r="M1822" s="1509"/>
      <c r="N1822" s="1509"/>
      <c r="O1822" s="1509"/>
      <c r="P1822" s="1509"/>
      <c r="Q1822" s="1314"/>
      <c r="R1822" s="1314"/>
      <c r="S1822" s="1314"/>
      <c r="T1822" s="1314"/>
      <c r="U1822" s="1314"/>
      <c r="V1822" s="1314"/>
      <c r="W1822" s="1314"/>
      <c r="X1822" s="1314"/>
      <c r="Y1822" s="1314"/>
      <c r="Z1822" s="1314"/>
    </row>
    <row r="1823" spans="1:26" ht="18.75">
      <c r="A1823" s="1393"/>
      <c r="B1823" s="1393"/>
      <c r="C1823" s="1393"/>
      <c r="D1823" s="1506"/>
      <c r="E1823" s="1393"/>
      <c r="F1823" s="1393"/>
      <c r="G1823" s="1393"/>
      <c r="H1823" s="1507"/>
      <c r="I1823" s="1508"/>
      <c r="J1823" s="1508"/>
      <c r="K1823" s="1509"/>
      <c r="L1823" s="1509"/>
      <c r="M1823" s="1509"/>
      <c r="N1823" s="1509"/>
      <c r="O1823" s="1509"/>
      <c r="P1823" s="1509"/>
      <c r="Q1823" s="1314"/>
      <c r="R1823" s="1314"/>
      <c r="S1823" s="1314"/>
      <c r="T1823" s="1314"/>
      <c r="U1823" s="1314"/>
      <c r="V1823" s="1314"/>
      <c r="W1823" s="1314"/>
      <c r="X1823" s="1314"/>
      <c r="Y1823" s="1314"/>
      <c r="Z1823" s="1314"/>
    </row>
    <row r="1824" spans="1:26" ht="18.75">
      <c r="A1824" s="1393"/>
      <c r="B1824" s="1393"/>
      <c r="C1824" s="1393"/>
      <c r="D1824" s="1506"/>
      <c r="E1824" s="1393"/>
      <c r="F1824" s="1393"/>
      <c r="G1824" s="1393"/>
      <c r="H1824" s="1507"/>
      <c r="I1824" s="1508"/>
      <c r="J1824" s="1508"/>
      <c r="K1824" s="1509"/>
      <c r="L1824" s="1509"/>
      <c r="M1824" s="1509"/>
      <c r="N1824" s="1509"/>
      <c r="O1824" s="1509"/>
      <c r="P1824" s="1509"/>
      <c r="Q1824" s="1314"/>
      <c r="R1824" s="1314"/>
      <c r="S1824" s="1314"/>
      <c r="T1824" s="1314"/>
      <c r="U1824" s="1314"/>
      <c r="V1824" s="1314"/>
      <c r="W1824" s="1314"/>
      <c r="X1824" s="1314"/>
      <c r="Y1824" s="1314"/>
      <c r="Z1824" s="1314"/>
    </row>
    <row r="1825" spans="1:26" ht="18.75">
      <c r="A1825" s="1393"/>
      <c r="B1825" s="1393"/>
      <c r="C1825" s="1393"/>
      <c r="D1825" s="1506"/>
      <c r="E1825" s="1393"/>
      <c r="F1825" s="1393"/>
      <c r="G1825" s="1393"/>
      <c r="H1825" s="1507"/>
      <c r="I1825" s="1508"/>
      <c r="J1825" s="1508"/>
      <c r="K1825" s="1509"/>
      <c r="L1825" s="1509"/>
      <c r="M1825" s="1509"/>
      <c r="N1825" s="1509"/>
      <c r="O1825" s="1509"/>
      <c r="P1825" s="1509"/>
      <c r="Q1825" s="1314"/>
      <c r="R1825" s="1314"/>
      <c r="S1825" s="1314"/>
      <c r="T1825" s="1314"/>
      <c r="U1825" s="1314"/>
      <c r="V1825" s="1314"/>
      <c r="W1825" s="1314"/>
      <c r="X1825" s="1314"/>
      <c r="Y1825" s="1314"/>
      <c r="Z1825" s="1314"/>
    </row>
    <row r="1826" spans="1:26" ht="18.75">
      <c r="A1826" s="1393"/>
      <c r="B1826" s="1393"/>
      <c r="C1826" s="1393"/>
      <c r="D1826" s="1506"/>
      <c r="E1826" s="1393"/>
      <c r="F1826" s="1393"/>
      <c r="G1826" s="1393"/>
      <c r="H1826" s="1507"/>
      <c r="I1826" s="1508"/>
      <c r="J1826" s="1508"/>
      <c r="K1826" s="1509"/>
      <c r="L1826" s="1509"/>
      <c r="M1826" s="1509"/>
      <c r="N1826" s="1509"/>
      <c r="O1826" s="1509"/>
      <c r="P1826" s="1509"/>
      <c r="Q1826" s="1314"/>
      <c r="R1826" s="1314"/>
      <c r="S1826" s="1314"/>
      <c r="T1826" s="1314"/>
      <c r="U1826" s="1314"/>
      <c r="V1826" s="1314"/>
      <c r="W1826" s="1314"/>
      <c r="X1826" s="1314"/>
      <c r="Y1826" s="1314"/>
      <c r="Z1826" s="1314"/>
    </row>
    <row r="1827" spans="1:26" ht="18.75">
      <c r="A1827" s="1393"/>
      <c r="B1827" s="1393"/>
      <c r="C1827" s="1393"/>
      <c r="D1827" s="1506"/>
      <c r="E1827" s="1393"/>
      <c r="F1827" s="1393"/>
      <c r="G1827" s="1393"/>
      <c r="H1827" s="1507"/>
      <c r="I1827" s="1508"/>
      <c r="J1827" s="1508"/>
      <c r="K1827" s="1509"/>
      <c r="L1827" s="1509"/>
      <c r="M1827" s="1509"/>
      <c r="N1827" s="1509"/>
      <c r="O1827" s="1509"/>
      <c r="P1827" s="1509"/>
      <c r="Q1827" s="1314"/>
      <c r="R1827" s="1314"/>
      <c r="S1827" s="1314"/>
      <c r="T1827" s="1314"/>
      <c r="U1827" s="1314"/>
      <c r="V1827" s="1314"/>
      <c r="W1827" s="1314"/>
      <c r="X1827" s="1314"/>
      <c r="Y1827" s="1314"/>
      <c r="Z1827" s="1314"/>
    </row>
    <row r="1828" spans="1:26" ht="18.75">
      <c r="A1828" s="1393"/>
      <c r="B1828" s="1393"/>
      <c r="C1828" s="1393"/>
      <c r="D1828" s="1506"/>
      <c r="E1828" s="1393"/>
      <c r="F1828" s="1393"/>
      <c r="G1828" s="1393"/>
      <c r="H1828" s="1507"/>
      <c r="I1828" s="1508"/>
      <c r="J1828" s="1508"/>
      <c r="K1828" s="1509"/>
      <c r="L1828" s="1509"/>
      <c r="M1828" s="1509"/>
      <c r="N1828" s="1509"/>
      <c r="O1828" s="1509"/>
      <c r="P1828" s="1509"/>
      <c r="Q1828" s="1314"/>
      <c r="R1828" s="1314"/>
      <c r="S1828" s="1314"/>
      <c r="T1828" s="1314"/>
      <c r="U1828" s="1314"/>
      <c r="V1828" s="1314"/>
      <c r="W1828" s="1314"/>
      <c r="X1828" s="1314"/>
      <c r="Y1828" s="1314"/>
      <c r="Z1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39FD-ACA6-4292-8A68-3C74E16A9C35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339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7211936</v>
      </c>
      <c r="M8" s="879">
        <f t="shared" ca="1" si="0"/>
        <v>6359839</v>
      </c>
      <c r="N8" s="879">
        <f t="shared" ca="1" si="0"/>
        <v>3353068.1399999997</v>
      </c>
      <c r="O8" s="879">
        <f t="shared" ref="O8:O16" ca="1" si="1">IF(L8&gt;0,N8*100/L8,0)</f>
        <v>46.493315248499144</v>
      </c>
      <c r="P8" s="879">
        <f t="shared" ref="P8:P16" ca="1" si="2">IF(M8&gt;0,N8*100/M8,0)</f>
        <v>52.722531812519144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7211936</v>
      </c>
      <c r="M10" s="886">
        <f t="shared" ca="1" si="3"/>
        <v>6359839</v>
      </c>
      <c r="N10" s="886">
        <f t="shared" ca="1" si="3"/>
        <v>3353068.1399999997</v>
      </c>
      <c r="O10" s="886">
        <f t="shared" ca="1" si="1"/>
        <v>46.493315248499144</v>
      </c>
      <c r="P10" s="886">
        <f t="shared" ca="1" si="2"/>
        <v>52.722531812519144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7060336</v>
      </c>
      <c r="M11" s="893">
        <f t="shared" ca="1" si="4"/>
        <v>6208239</v>
      </c>
      <c r="N11" s="893">
        <f t="shared" ca="1" si="4"/>
        <v>3201468.1399999997</v>
      </c>
      <c r="O11" s="893">
        <f t="shared" ca="1" si="1"/>
        <v>45.344416186425114</v>
      </c>
      <c r="P11" s="893">
        <f t="shared" ca="1" si="2"/>
        <v>51.568055611261087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7060336</v>
      </c>
      <c r="M13" s="899">
        <f t="shared" ca="1" si="5"/>
        <v>6208239</v>
      </c>
      <c r="N13" s="899">
        <f t="shared" ca="1" si="5"/>
        <v>3201468.1399999997</v>
      </c>
      <c r="O13" s="899">
        <f t="shared" ca="1" si="1"/>
        <v>45.344416186425114</v>
      </c>
      <c r="P13" s="899">
        <f t="shared" ca="1" si="2"/>
        <v>51.568055611261087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151600</v>
      </c>
      <c r="M14" s="893">
        <f t="shared" ca="1" si="6"/>
        <v>151600</v>
      </c>
      <c r="N14" s="893">
        <f t="shared" ca="1" si="6"/>
        <v>151600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151600</v>
      </c>
      <c r="M16" s="905">
        <f t="shared" ca="1" si="7"/>
        <v>151600</v>
      </c>
      <c r="N16" s="905">
        <f t="shared" ca="1" si="7"/>
        <v>151600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4817772</v>
      </c>
      <c r="M18" s="879">
        <f t="shared" ca="1" si="8"/>
        <v>3965675</v>
      </c>
      <c r="N18" s="879">
        <f t="shared" ca="1" si="8"/>
        <v>2507450.1399999997</v>
      </c>
      <c r="O18" s="879">
        <f t="shared" ref="O18:O26" ca="1" si="9">IF(L18&gt;0,N18*100/L18,0)</f>
        <v>52.04584484280285</v>
      </c>
      <c r="P18" s="879">
        <f t="shared" ref="P18:P26" ca="1" si="10">IF(M18&gt;0,N18*100/M18,0)</f>
        <v>63.22883594848291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4817772</v>
      </c>
      <c r="M20" s="886">
        <f t="shared" ca="1" si="11"/>
        <v>3965675</v>
      </c>
      <c r="N20" s="886">
        <f t="shared" ca="1" si="11"/>
        <v>2507450.1399999997</v>
      </c>
      <c r="O20" s="886">
        <f t="shared" ca="1" si="9"/>
        <v>52.04584484280285</v>
      </c>
      <c r="P20" s="886">
        <f t="shared" ca="1" si="10"/>
        <v>63.22883594848291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4666172</v>
      </c>
      <c r="M21" s="893">
        <f t="shared" ca="1" si="12"/>
        <v>3814075</v>
      </c>
      <c r="N21" s="893">
        <f t="shared" ca="1" si="12"/>
        <v>2355850.1399999997</v>
      </c>
      <c r="O21" s="893">
        <f t="shared" ca="1" si="9"/>
        <v>50.487854712599528</v>
      </c>
      <c r="P21" s="893">
        <f t="shared" ca="1" si="10"/>
        <v>61.767273585338508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4666172</v>
      </c>
      <c r="M23" s="899">
        <f t="shared" ca="1" si="13"/>
        <v>3814075</v>
      </c>
      <c r="N23" s="899">
        <f t="shared" ca="1" si="13"/>
        <v>2355850.1399999997</v>
      </c>
      <c r="O23" s="899">
        <f t="shared" ca="1" si="9"/>
        <v>50.487854712599528</v>
      </c>
      <c r="P23" s="899">
        <f t="shared" ca="1" si="10"/>
        <v>61.767273585338508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151600</v>
      </c>
      <c r="M24" s="893">
        <f t="shared" ca="1" si="14"/>
        <v>151600</v>
      </c>
      <c r="N24" s="893">
        <f t="shared" ca="1" si="14"/>
        <v>151600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151600</v>
      </c>
      <c r="M26" s="905">
        <f t="shared" ca="1" si="15"/>
        <v>151600</v>
      </c>
      <c r="N26" s="905">
        <f t="shared" ca="1" si="15"/>
        <v>151600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2394164</v>
      </c>
      <c r="M28" s="879">
        <f t="shared" ca="1" si="16"/>
        <v>2394164</v>
      </c>
      <c r="N28" s="879">
        <f t="shared" si="16"/>
        <v>845618</v>
      </c>
      <c r="O28" s="879">
        <f t="shared" ref="O28:O37" ca="1" si="17">IF(L28&gt;0,N28*100/L28,0)</f>
        <v>35.319969726384656</v>
      </c>
      <c r="P28" s="879">
        <f t="shared" ref="P28:P37" ca="1" si="18">IF(M28&gt;0,N28*100/M28,0)</f>
        <v>35.319969726384656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2394164</v>
      </c>
      <c r="M30" s="886">
        <f t="shared" ca="1" si="19"/>
        <v>2394164</v>
      </c>
      <c r="N30" s="886">
        <f t="shared" si="19"/>
        <v>845618</v>
      </c>
      <c r="O30" s="886">
        <f t="shared" ca="1" si="17"/>
        <v>35.319969726384656</v>
      </c>
      <c r="P30" s="886">
        <f t="shared" ca="1" si="18"/>
        <v>35.319969726384656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2394164</v>
      </c>
      <c r="M31" s="893">
        <f t="shared" ca="1" si="20"/>
        <v>2394164</v>
      </c>
      <c r="N31" s="893">
        <f t="shared" si="20"/>
        <v>845618</v>
      </c>
      <c r="O31" s="893">
        <f t="shared" ca="1" si="17"/>
        <v>35.319969726384656</v>
      </c>
      <c r="P31" s="893">
        <f t="shared" ca="1" si="18"/>
        <v>35.319969726384656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2394164</v>
      </c>
      <c r="M33" s="899">
        <f t="shared" ca="1" si="21"/>
        <v>2394164</v>
      </c>
      <c r="N33" s="899">
        <f t="shared" si="21"/>
        <v>845618</v>
      </c>
      <c r="O33" s="899">
        <f t="shared" ca="1" si="17"/>
        <v>35.319969726384656</v>
      </c>
      <c r="P33" s="899">
        <f t="shared" ca="1" si="18"/>
        <v>35.319969726384656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4817772</v>
      </c>
      <c r="M37" s="912">
        <f t="shared" ca="1" si="24"/>
        <v>3965675</v>
      </c>
      <c r="N37" s="912">
        <f t="shared" ca="1" si="24"/>
        <v>2507450.1399999997</v>
      </c>
      <c r="O37" s="912">
        <f t="shared" ca="1" si="17"/>
        <v>52.04584484280285</v>
      </c>
      <c r="P37" s="912">
        <f t="shared" ca="1" si="18"/>
        <v>63.22883594848291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882742</v>
      </c>
      <c r="M41" s="938">
        <f t="shared" ca="1" si="25"/>
        <v>897305</v>
      </c>
      <c r="N41" s="938">
        <f t="shared" ca="1" si="25"/>
        <v>542615.71</v>
      </c>
      <c r="O41" s="938">
        <f t="shared" ref="O41:O49" ca="1" si="26">IF(L41&gt;0,N41*100/L41,0)</f>
        <v>61.469343250915898</v>
      </c>
      <c r="P41" s="938">
        <f t="shared" ref="P41:P49" ca="1" si="27">IF(M41&gt;0,N41*100/M41,0)</f>
        <v>60.471713631373945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882742</v>
      </c>
      <c r="M43" s="944">
        <f t="shared" ca="1" si="28"/>
        <v>897305</v>
      </c>
      <c r="N43" s="944">
        <f t="shared" ca="1" si="28"/>
        <v>542615.71</v>
      </c>
      <c r="O43" s="944">
        <f t="shared" ca="1" si="26"/>
        <v>61.469343250915898</v>
      </c>
      <c r="P43" s="944">
        <f t="shared" ca="1" si="27"/>
        <v>60.471713631373945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882742</v>
      </c>
      <c r="M44" s="893">
        <f t="shared" ca="1" si="29"/>
        <v>897305</v>
      </c>
      <c r="N44" s="893">
        <f t="shared" ca="1" si="29"/>
        <v>542615.71</v>
      </c>
      <c r="O44" s="893">
        <f t="shared" ca="1" si="26"/>
        <v>61.469343250915898</v>
      </c>
      <c r="P44" s="893">
        <f t="shared" ca="1" si="27"/>
        <v>60.471713631373945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IFERROR(__xludf.DUMMYFUNCTION("IMPORTRANGE(""https://docs.google.com/spreadsheets/d/1MeEWN-I1oV_STSDYn1IFDPWt_1FKiwhDph83XaGc0o0/edit?usp=sharing"",""งบพรบ!M34"")"),882742)</f>
        <v>882742</v>
      </c>
      <c r="M46" s="899">
        <f ca="1">IFERROR(__xludf.DUMMYFUNCTION("IMPORTRANGE(""https://docs.google.com/spreadsheets/d/1MeEWN-I1oV_STSDYn1IFDPWt_1FKiwhDph83XaGc0o0/edit?usp=sharing"",""งบพรบ!R34"")"),897305)</f>
        <v>897305</v>
      </c>
      <c r="N46" s="899">
        <f ca="1">IFERROR(__xludf.DUMMYFUNCTION("IMPORTRANGE(""https://docs.google.com/spreadsheets/d/1MeEWN-I1oV_STSDYn1IFDPWt_1FKiwhDph83XaGc0o0/edit?usp=sharing"",""งบพรบ!T34"")"),542615.71)</f>
        <v>542615.71</v>
      </c>
      <c r="O46" s="899">
        <f t="shared" ca="1" si="26"/>
        <v>61.469343250915898</v>
      </c>
      <c r="P46" s="899">
        <f t="shared" ca="1" si="27"/>
        <v>60.471713631373945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IFERROR(__xludf.DUMMYFUNCTION("IMPORTRANGE(""https://docs.google.com/spreadsheets/d/1MeEWN-I1oV_STSDYn1IFDPWt_1FKiwhDph83XaGc0o0/edit?usp=sharing"",""งบพรบ!P34"")"),0)</f>
        <v>0</v>
      </c>
      <c r="M49" s="905">
        <f ca="1">IFERROR(__xludf.DUMMYFUNCTION("IMPORTRANGE(""https://docs.google.com/spreadsheets/d/1MeEWN-I1oV_STSDYn1IFDPWt_1FKiwhDph83XaGc0o0/edit?usp=sharing"",""งบพรบ!S34"")"),0)</f>
        <v>0</v>
      </c>
      <c r="N49" s="905">
        <f ca="1">IFERROR(__xludf.DUMMYFUNCTION("IMPORTRANGE(""https://docs.google.com/spreadsheets/d/1MeEWN-I1oV_STSDYn1IFDPWt_1FKiwhDph83XaGc0o0/edit?usp=sharing"",""งบพรบ!U34"")"),0)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991600</v>
      </c>
      <c r="M53" s="968">
        <f t="shared" ca="1" si="31"/>
        <v>743700</v>
      </c>
      <c r="N53" s="968">
        <f t="shared" ca="1" si="31"/>
        <v>587124.13</v>
      </c>
      <c r="O53" s="968">
        <f t="shared" ref="O53:O61" ca="1" si="32">IF(L53&gt;0,N53*100/L53,0)</f>
        <v>59.20977511093183</v>
      </c>
      <c r="P53" s="968">
        <f t="shared" ref="P53:P61" ca="1" si="33">IF(M53&gt;0,N53*100/M53,0)</f>
        <v>78.946366814575768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991600</v>
      </c>
      <c r="M55" s="974">
        <f t="shared" ca="1" si="34"/>
        <v>743700</v>
      </c>
      <c r="N55" s="974">
        <f t="shared" ca="1" si="34"/>
        <v>587124.13</v>
      </c>
      <c r="O55" s="974">
        <f t="shared" ca="1" si="32"/>
        <v>59.20977511093183</v>
      </c>
      <c r="P55" s="974">
        <f t="shared" ca="1" si="33"/>
        <v>78.946366814575768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991600</v>
      </c>
      <c r="M56" s="893">
        <f t="shared" ca="1" si="35"/>
        <v>743700</v>
      </c>
      <c r="N56" s="893">
        <f t="shared" ca="1" si="35"/>
        <v>587124.13</v>
      </c>
      <c r="O56" s="893">
        <f t="shared" ca="1" si="32"/>
        <v>59.20977511093183</v>
      </c>
      <c r="P56" s="893">
        <f t="shared" ca="1" si="33"/>
        <v>78.946366814575768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IFERROR(__xludf.DUMMYFUNCTION("IMPORTRANGE(""https://docs.google.com/spreadsheets/d/1MeEWN-I1oV_STSDYn1IFDPWt_1FKiwhDph83XaGc0o0/edit?usp=sharing"",""งบพรบ!W34"")"),991600)</f>
        <v>991600</v>
      </c>
      <c r="M58" s="899">
        <f ca="1">IFERROR(__xludf.DUMMYFUNCTION("IMPORTRANGE(""https://docs.google.com/spreadsheets/d/1MeEWN-I1oV_STSDYn1IFDPWt_1FKiwhDph83XaGc0o0/edit?usp=sharing"",""งบพรบ!AB34"")"),743700)</f>
        <v>743700</v>
      </c>
      <c r="N58" s="899">
        <f ca="1">IFERROR(__xludf.DUMMYFUNCTION("IMPORTRANGE(""https://docs.google.com/spreadsheets/d/1MeEWN-I1oV_STSDYn1IFDPWt_1FKiwhDph83XaGc0o0/edit?usp=sharing"",""งบพรบ!AD34"")"),587124.13)</f>
        <v>587124.13</v>
      </c>
      <c r="O58" s="899">
        <f t="shared" ca="1" si="32"/>
        <v>59.20977511093183</v>
      </c>
      <c r="P58" s="899">
        <f t="shared" ca="1" si="33"/>
        <v>78.946366814575768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IFERROR(__xludf.DUMMYFUNCTION("IMPORTRANGE(""https://docs.google.com/spreadsheets/d/1MeEWN-I1oV_STSDYn1IFDPWt_1FKiwhDph83XaGc0o0/edit?usp=sharing"",""งบพรบ!Z34"")"),0)</f>
        <v>0</v>
      </c>
      <c r="M61" s="905">
        <f ca="1">IFERROR(__xludf.DUMMYFUNCTION("IMPORTRANGE(""https://docs.google.com/spreadsheets/d/1MeEWN-I1oV_STSDYn1IFDPWt_1FKiwhDph83XaGc0o0/edit?usp=sharing"",""งบพรบ!AC34"")"),0)</f>
        <v>0</v>
      </c>
      <c r="N61" s="905">
        <f ca="1">IFERROR(__xludf.DUMMYFUNCTION("IMPORTRANGE(""https://docs.google.com/spreadsheets/d/1MeEWN-I1oV_STSDYn1IFDPWt_1FKiwhDph83XaGc0o0/edit?usp=sharing"",""งบพรบ!AE34"")"),0)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IFERROR(__xludf.DUMMYFUNCTION("IMPORTRANGE(""https://docs.google.com/spreadsheets/d/1MeEWN-I1oV_STSDYn1IFDPWt_1FKiwhDph83XaGc0o0/edit?usp=sharing"",""งบพรบ!AG34"")"),0)</f>
        <v>0</v>
      </c>
      <c r="M71" s="899">
        <f ca="1">IFERROR(__xludf.DUMMYFUNCTION("IMPORTRANGE(""https://docs.google.com/spreadsheets/d/1MeEWN-I1oV_STSDYn1IFDPWt_1FKiwhDph83XaGc0o0/edit?usp=sharing"",""งบพรบ!AL34"")"),0)</f>
        <v>0</v>
      </c>
      <c r="N71" s="899">
        <f ca="1">IFERROR(__xludf.DUMMYFUNCTION("IMPORTRANGE(""https://docs.google.com/spreadsheets/d/1MeEWN-I1oV_STSDYn1IFDPWt_1FKiwhDph83XaGc0o0/edit?usp=sharing"",""งบพรบ!AN34"")"),0)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IFERROR(__xludf.DUMMYFUNCTION("IMPORTRANGE(""https://docs.google.com/spreadsheets/d/1MeEWN-I1oV_STSDYn1IFDPWt_1FKiwhDph83XaGc0o0/edit?usp=sharing"",""งบพรบ!AJ34"")"),0)</f>
        <v>0</v>
      </c>
      <c r="M74" s="899">
        <f ca="1">IFERROR(__xludf.DUMMYFUNCTION("IMPORTRANGE(""https://docs.google.com/spreadsheets/d/1MeEWN-I1oV_STSDYn1IFDPWt_1FKiwhDph83XaGc0o0/edit?usp=sharing"",""งบพรบ!AM34"")"),0)</f>
        <v>0</v>
      </c>
      <c r="N74" s="899">
        <f ca="1">IFERROR(__xludf.DUMMYFUNCTION("IMPORTRANGE(""https://docs.google.com/spreadsheets/d/1MeEWN-I1oV_STSDYn1IFDPWt_1FKiwhDph83XaGc0o0/edit?usp=sharing"",""งบพรบ!AO34"")"),0)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IFERROR(__xludf.DUMMYFUNCTION("IMPORTRANGE(""https://docs.google.com/spreadsheets/d/1QqKyyYR6Q21VydFLVH3TRQUabQu_ym0Zz7PgGX0-kHA/edit?usp=sharing"",""แผน!H34"")"),0)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IFERROR(__xludf.DUMMYFUNCTION("IMPORTRANGE(""https://docs.google.com/spreadsheets/d/1QqKyyYR6Q21VydFLVH3TRQUabQu_ym0Zz7PgGX0-kHA/edit?usp=sharing"",""แผน!I34"")"),0)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IFERROR(__xludf.DUMMYFUNCTION("IMPORTRANGE(""https://docs.google.com/spreadsheets/d/1QqKyyYR6Q21VydFLVH3TRQUabQu_ym0Zz7PgGX0-kHA/edit?usp=sharing"",""แผน!F34"")"),0)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IFERROR(__xludf.DUMMYFUNCTION("IMPORTRANGE(""https://docs.google.com/spreadsheets/d/1QqKyyYR6Q21VydFLVH3TRQUabQu_ym0Zz7PgGX0-kHA/edit?usp=sharing"",""แผน!G34"")"),0)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IFERROR(__xludf.DUMMYFUNCTION("IMPORTRANGE(""https://docs.google.com/spreadsheets/d/1QqKyyYR6Q21VydFLVH3TRQUabQu_ym0Zz7PgGX0-kHA/edit?usp=sharing"",""แผน!D34"")"),0)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IFERROR(__xludf.DUMMYFUNCTION("IMPORTRANGE(""https://docs.google.com/spreadsheets/d/1QqKyyYR6Q21VydFLVH3TRQUabQu_ym0Zz7PgGX0-kHA/edit?usp=sharing"",""แผน!E34"")"),0)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IFERROR(__xludf.DUMMYFUNCTION("IMPORTRANGE(""https://docs.google.com/spreadsheets/d/1QqKyyYR6Q21VydFLVH3TRQUabQu_ym0Zz7PgGX0-kHA/edit?usp=sharing"",""แผน!J34"")"),0)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0</v>
      </c>
      <c r="J86" s="994">
        <f t="shared" si="47"/>
        <v>0</v>
      </c>
      <c r="K86" s="995">
        <f t="shared" ref="K86:K87" ca="1" si="48">IF(I86&gt;0,J86*100/I86,0)</f>
        <v>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0</v>
      </c>
      <c r="J87" s="994">
        <f t="shared" si="47"/>
        <v>0</v>
      </c>
      <c r="K87" s="995">
        <f t="shared" ca="1" si="48"/>
        <v>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31200</v>
      </c>
      <c r="M88" s="1004">
        <f t="shared" ca="1" si="49"/>
        <v>29350</v>
      </c>
      <c r="N88" s="1004">
        <f t="shared" ca="1" si="49"/>
        <v>20373</v>
      </c>
      <c r="O88" s="1004">
        <f t="shared" ref="O88:O96" ca="1" si="50">IF(L88&gt;0,N88*100/L88,0)</f>
        <v>65.29807692307692</v>
      </c>
      <c r="P88" s="1004">
        <f t="shared" ref="P88:P96" ca="1" si="51">IF(M88&gt;0,N88*100/M88,0)</f>
        <v>69.413969335604776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31200</v>
      </c>
      <c r="M90" s="899">
        <f t="shared" ca="1" si="52"/>
        <v>29350</v>
      </c>
      <c r="N90" s="899">
        <f t="shared" ca="1" si="52"/>
        <v>20373</v>
      </c>
      <c r="O90" s="899">
        <f t="shared" ca="1" si="50"/>
        <v>65.29807692307692</v>
      </c>
      <c r="P90" s="899">
        <f t="shared" ca="1" si="51"/>
        <v>69.413969335604776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31200</v>
      </c>
      <c r="M91" s="893">
        <f t="shared" ca="1" si="53"/>
        <v>29350</v>
      </c>
      <c r="N91" s="893">
        <f t="shared" ca="1" si="53"/>
        <v>20373</v>
      </c>
      <c r="O91" s="893">
        <f t="shared" ca="1" si="50"/>
        <v>65.29807692307692</v>
      </c>
      <c r="P91" s="893">
        <f t="shared" ca="1" si="51"/>
        <v>69.413969335604776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IFERROR(__xludf.DUMMYFUNCTION("IMPORTRANGE(""https://docs.google.com/spreadsheets/d/1MeEWN-I1oV_STSDYn1IFDPWt_1FKiwhDph83XaGc0o0/edit?usp=sharing"",""งบพรบ!AQ34"")"),31200)</f>
        <v>31200</v>
      </c>
      <c r="M93" s="899">
        <f ca="1">IFERROR(__xludf.DUMMYFUNCTION("IMPORTRANGE(""https://docs.google.com/spreadsheets/d/1MeEWN-I1oV_STSDYn1IFDPWt_1FKiwhDph83XaGc0o0/edit?usp=sharing"",""งบพรบ!AV34"")"),29350)</f>
        <v>29350</v>
      </c>
      <c r="N93" s="899">
        <f ca="1">IFERROR(__xludf.DUMMYFUNCTION("IMPORTRANGE(""https://docs.google.com/spreadsheets/d/1MeEWN-I1oV_STSDYn1IFDPWt_1FKiwhDph83XaGc0o0/edit?usp=sharing"",""งบพรบ!AX34"")"),20373)</f>
        <v>20373</v>
      </c>
      <c r="O93" s="899">
        <f t="shared" ca="1" si="50"/>
        <v>65.29807692307692</v>
      </c>
      <c r="P93" s="899">
        <f t="shared" ca="1" si="51"/>
        <v>69.413969335604776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IFERROR(__xludf.DUMMYFUNCTION("IMPORTRANGE(""https://docs.google.com/spreadsheets/d/1MeEWN-I1oV_STSDYn1IFDPWt_1FKiwhDph83XaGc0o0/edit?usp=sharing"",""งบพรบ!AT34"")"),0)</f>
        <v>0</v>
      </c>
      <c r="M96" s="899">
        <f ca="1">IFERROR(__xludf.DUMMYFUNCTION("IMPORTRANGE(""https://docs.google.com/spreadsheets/d/1MeEWN-I1oV_STSDYn1IFDPWt_1FKiwhDph83XaGc0o0/edit?usp=sharing"",""งบพรบ!AW34"")"),0)</f>
        <v>0</v>
      </c>
      <c r="N96" s="899">
        <f ca="1">IFERROR(__xludf.DUMMYFUNCTION("IMPORTRANGE(""https://docs.google.com/spreadsheets/d/1MeEWN-I1oV_STSDYn1IFDPWt_1FKiwhDph83XaGc0o0/edit?usp=sharing"",""งบพรบ!AY34"")"),0)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IFERROR(__xludf.DUMMYFUNCTION("IMPORTRANGE(""https://docs.google.com/spreadsheets/d/1QqKyyYR6Q21VydFLVH3TRQUabQu_ym0Zz7PgGX0-kHA/edit?usp=sharing"",""แผน!K34"")"),0)</f>
        <v>0</v>
      </c>
      <c r="J98" s="892">
        <f>J102</f>
        <v>0</v>
      </c>
      <c r="K98" s="893">
        <f t="shared" ref="K98:K100" ca="1" si="55">IF(I98&gt;0,J98*100/I98,0)</f>
        <v>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IFERROR(__xludf.DUMMYFUNCTION("IMPORTRANGE(""https://docs.google.com/spreadsheets/d/1QqKyyYR6Q21VydFLVH3TRQUabQu_ym0Zz7PgGX0-kHA/edit?usp=sharing"",""แผน!L34"")"),0)</f>
        <v>0</v>
      </c>
      <c r="J99" s="892">
        <f>J104</f>
        <v>0</v>
      </c>
      <c r="K99" s="893">
        <f t="shared" ca="1" si="55"/>
        <v>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IFERROR(__xludf.DUMMYFUNCTION("IMPORTRANGE(""https://docs.google.com/spreadsheets/d/1QqKyyYR6Q21VydFLVH3TRQUabQu_ym0Zz7PgGX0-kHA/edit?usp=sharing"",""แผน!M34"")"),1)</f>
        <v>1</v>
      </c>
      <c r="J100" s="892">
        <f>J107+J110</f>
        <v>1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IFERROR(__xludf.DUMMYFUNCTION("IMPORTRANGE(""https://docs.google.com/spreadsheets/d/1QqKyyYR6Q21VydFLVH3TRQUabQu_ym0Zz7PgGX0-kHA/edit?usp=sharing"",""แผน!N34"")"),0)</f>
        <v>0</v>
      </c>
      <c r="J102" s="1024">
        <v>0</v>
      </c>
      <c r="K102" s="893">
        <f t="shared" ref="K102:K104" ca="1" si="56">IF(I102&gt;0,J102*100/I102,0)</f>
        <v>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IFERROR(__xludf.DUMMYFUNCTION("IMPORTRANGE(""https://docs.google.com/spreadsheets/d/1QqKyyYR6Q21VydFLVH3TRQUabQu_ym0Zz7PgGX0-kHA/edit?usp=sharing"",""แผน!O34"")"),0)</f>
        <v>0</v>
      </c>
      <c r="J103" s="1024">
        <v>0</v>
      </c>
      <c r="K103" s="893">
        <f t="shared" ca="1" si="56"/>
        <v>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IFERROR(__xludf.DUMMYFUNCTION("IMPORTRANGE(""https://docs.google.com/spreadsheets/d/1QqKyyYR6Q21VydFLVH3TRQUabQu_ym0Zz7PgGX0-kHA/edit?usp=sharing"",""แผน!O34"")"),0)</f>
        <v>0</v>
      </c>
      <c r="J104" s="1024">
        <v>0</v>
      </c>
      <c r="K104" s="893">
        <f t="shared" ca="1" si="56"/>
        <v>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IFERROR(__xludf.DUMMYFUNCTION("IMPORTRANGE(""https://docs.google.com/spreadsheets/d/1QqKyyYR6Q21VydFLVH3TRQUabQu_ym0Zz7PgGX0-kHA/edit?usp=sharing"",""แผน!P34"")"),0)</f>
        <v>0</v>
      </c>
      <c r="J106" s="1024">
        <v>0</v>
      </c>
      <c r="K106" s="893">
        <f t="shared" ref="K106:K107" ca="1" si="57">IF(I106&gt;0,J106*100/I106,0)</f>
        <v>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IFERROR(__xludf.DUMMYFUNCTION("IMPORTRANGE(""https://docs.google.com/spreadsheets/d/1QqKyyYR6Q21VydFLVH3TRQUabQu_ym0Zz7PgGX0-kHA/edit?usp=sharing"",""แผน!P34"")"),0)</f>
        <v>0</v>
      </c>
      <c r="J107" s="1024">
        <v>0</v>
      </c>
      <c r="K107" s="893">
        <f t="shared" ca="1" si="57"/>
        <v>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IFERROR(__xludf.DUMMYFUNCTION("IMPORTRANGE(""https://docs.google.com/spreadsheets/d/1QqKyyYR6Q21VydFLVH3TRQUabQu_ym0Zz7PgGX0-kHA/edit?usp=sharing"",""แผน!Q34"")"),1)</f>
        <v>1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IFERROR(__xludf.DUMMYFUNCTION("IMPORTRANGE(""https://docs.google.com/spreadsheets/d/1QqKyyYR6Q21VydFLVH3TRQUabQu_ym0Zz7PgGX0-kHA/edit?usp=sharing"",""แผน!Q34"")"),1)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IFERROR(__xludf.DUMMYFUNCTION("IMPORTRANGE(""https://docs.google.com/spreadsheets/d/1QqKyyYR6Q21VydFLVH3TRQUabQu_ym0Zz7PgGX0-kHA/edit?usp=sharing"",""แผน!R34"")"),0)</f>
        <v>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1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IFERROR(__xludf.DUMMYFUNCTION("IMPORTRANGE(""https://docs.google.com/spreadsheets/d/1QqKyyYR6Q21VydFLVH3TRQUabQu_ym0Zz7PgGX0-kHA/edit?usp=sharing"",""แผน!R34"")"),0)</f>
        <v>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IFERROR(__xludf.DUMMYFUNCTION("IMPORTRANGE(""https://docs.google.com/spreadsheets/d/1QqKyyYR6Q21VydFLVH3TRQUabQu_ym0Zz7PgGX0-kHA/edit?usp=sharing"",""แผน!R34"")"),0)</f>
        <v>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IFERROR(__xludf.DUMMYFUNCTION("IMPORTRANGE(""https://docs.google.com/spreadsheets/d/1QqKyyYR6Q21VydFLVH3TRQUabQu_ym0Zz7PgGX0-kHA/edit?usp=sharing"",""แผน!S34"")"),0)</f>
        <v>0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IFERROR(__xludf.DUMMYFUNCTION("IMPORTRANGE(""https://docs.google.com/spreadsheets/d/1QqKyyYR6Q21VydFLVH3TRQUabQu_ym0Zz7PgGX0-kHA/edit?usp=sharing"",""แผน!T34"")"),1)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IFERROR(__xludf.DUMMYFUNCTION("IMPORTRANGE(""https://docs.google.com/spreadsheets/d/1MeEWN-I1oV_STSDYn1IFDPWt_1FKiwhDph83XaGc0o0/edit?usp=sharing"",""งบพรบ!BA34"")"),0)</f>
        <v>0</v>
      </c>
      <c r="M124" s="899">
        <f ca="1">IFERROR(__xludf.DUMMYFUNCTION("IMPORTRANGE(""https://docs.google.com/spreadsheets/d/1MeEWN-I1oV_STSDYn1IFDPWt_1FKiwhDph83XaGc0o0/edit?usp=sharing"",""งบพรบ!BF34"")"),0)</f>
        <v>0</v>
      </c>
      <c r="N124" s="899">
        <f ca="1">IFERROR(__xludf.DUMMYFUNCTION("IMPORTRANGE(""https://docs.google.com/spreadsheets/d/1MeEWN-I1oV_STSDYn1IFDPWt_1FKiwhDph83XaGc0o0/edit?usp=sharing"",""งบพรบ!BH34"")"),0)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IFERROR(__xludf.DUMMYFUNCTION("IMPORTRANGE(""https://docs.google.com/spreadsheets/d/1MeEWN-I1oV_STSDYn1IFDPWt_1FKiwhDph83XaGc0o0/edit?usp=sharing"",""งบพรบ!BD34"")"),0)</f>
        <v>0</v>
      </c>
      <c r="M127" s="899">
        <f ca="1">IFERROR(__xludf.DUMMYFUNCTION("IMPORTRANGE(""https://docs.google.com/spreadsheets/d/1MeEWN-I1oV_STSDYn1IFDPWt_1FKiwhDph83XaGc0o0/edit?usp=sharing"",""งบพรบ!BG34"")"),0)</f>
        <v>0</v>
      </c>
      <c r="N127" s="899">
        <f ca="1">IFERROR(__xludf.DUMMYFUNCTION("IMPORTRANGE(""https://docs.google.com/spreadsheets/d/1MeEWN-I1oV_STSDYn1IFDPWt_1FKiwhDph83XaGc0o0/edit?usp=sharing"",""งบพรบ!BI34"")"),0)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IFERROR(__xludf.DUMMYFUNCTION("IMPORTRANGE(""https://docs.google.com/spreadsheets/d/1MeEWN-I1oV_STSDYn1IFDPWt_1FKiwhDph83XaGc0o0/edit?usp=sharing"",""งบพรบ!BK34"")"),0)</f>
        <v>0</v>
      </c>
      <c r="M137" s="899">
        <f ca="1">IFERROR(__xludf.DUMMYFUNCTION("IMPORTRANGE(""https://docs.google.com/spreadsheets/d/1MeEWN-I1oV_STSDYn1IFDPWt_1FKiwhDph83XaGc0o0/edit?usp=sharing"",""งบพรบ!BP34"")"),0)</f>
        <v>0</v>
      </c>
      <c r="N137" s="899">
        <f ca="1">IFERROR(__xludf.DUMMYFUNCTION("IMPORTRANGE(""https://docs.google.com/spreadsheets/d/1MeEWN-I1oV_STSDYn1IFDPWt_1FKiwhDph83XaGc0o0/edit?usp=sharing"",""งบพรบ!BR34"")"),0)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IFERROR(__xludf.DUMMYFUNCTION("IMPORTRANGE(""https://docs.google.com/spreadsheets/d/1MeEWN-I1oV_STSDYn1IFDPWt_1FKiwhDph83XaGc0o0/edit?usp=sharing"",""งบพรบ!BN34"")"),0)</f>
        <v>0</v>
      </c>
      <c r="M140" s="899">
        <f ca="1">IFERROR(__xludf.DUMMYFUNCTION("IMPORTRANGE(""https://docs.google.com/spreadsheets/d/1MeEWN-I1oV_STSDYn1IFDPWt_1FKiwhDph83XaGc0o0/edit?usp=sharing"",""งบพรบ!BQ34"")"),0)</f>
        <v>0</v>
      </c>
      <c r="N140" s="899">
        <f ca="1">IFERROR(__xludf.DUMMYFUNCTION("IMPORTRANGE(""https://docs.google.com/spreadsheets/d/1MeEWN-I1oV_STSDYn1IFDPWt_1FKiwhDph83XaGc0o0/edit?usp=sharing"",""งบพรบ!BS34"")"),0)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IFERROR(__xludf.DUMMYFUNCTION("IMPORTRANGE(""https://docs.google.com/spreadsheets/d/1QqKyyYR6Q21VydFLVH3TRQUabQu_ym0Zz7PgGX0-kHA/edit?usp=sharing"",""แผน!U34"")"),0)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IFERROR(__xludf.DUMMYFUNCTION("IMPORTRANGE(""https://docs.google.com/spreadsheets/d/1QqKyyYR6Q21VydFLVH3TRQUabQu_ym0Zz7PgGX0-kHA/edit?usp=sharing"",""แผน!V34"")"),0)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IFERROR(__xludf.DUMMYFUNCTION("IMPORTRANGE(""https://docs.google.com/spreadsheets/d/1QqKyyYR6Q21VydFLVH3TRQUabQu_ym0Zz7PgGX0-kHA/edit?usp=sharing"",""แผน!W34"")"),0)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6720</v>
      </c>
      <c r="N149" s="1004">
        <f t="shared" ca="1" si="77"/>
        <v>4208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62.61904761904762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6720</v>
      </c>
      <c r="N151" s="899">
        <f t="shared" ca="1" si="80"/>
        <v>4208</v>
      </c>
      <c r="O151" s="899">
        <f t="shared" ca="1" si="78"/>
        <v>0</v>
      </c>
      <c r="P151" s="899">
        <f t="shared" ca="1" si="79"/>
        <v>62.61904761904762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6720</v>
      </c>
      <c r="N152" s="893">
        <f t="shared" ca="1" si="81"/>
        <v>4208</v>
      </c>
      <c r="O152" s="893">
        <f t="shared" ca="1" si="78"/>
        <v>0</v>
      </c>
      <c r="P152" s="893">
        <f t="shared" ca="1" si="79"/>
        <v>62.61904761904762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IFERROR(__xludf.DUMMYFUNCTION("IMPORTRANGE(""https://docs.google.com/spreadsheets/d/1MeEWN-I1oV_STSDYn1IFDPWt_1FKiwhDph83XaGc0o0/edit?usp=sharing"",""งบพรบ!BU34"")"),0)</f>
        <v>0</v>
      </c>
      <c r="M154" s="899">
        <f ca="1">IFERROR(__xludf.DUMMYFUNCTION("IMPORTRANGE(""https://docs.google.com/spreadsheets/d/1MeEWN-I1oV_STSDYn1IFDPWt_1FKiwhDph83XaGc0o0/edit?usp=sharing"",""งบพรบ!BZ34"")"),6720)</f>
        <v>6720</v>
      </c>
      <c r="N154" s="899">
        <f ca="1">IFERROR(__xludf.DUMMYFUNCTION("IMPORTRANGE(""https://docs.google.com/spreadsheets/d/1MeEWN-I1oV_STSDYn1IFDPWt_1FKiwhDph83XaGc0o0/edit?usp=sharing"",""งบพรบ!CB34"")"),4208)</f>
        <v>4208</v>
      </c>
      <c r="O154" s="899">
        <f t="shared" ca="1" si="78"/>
        <v>0</v>
      </c>
      <c r="P154" s="899">
        <f t="shared" ca="1" si="79"/>
        <v>62.61904761904762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IFERROR(__xludf.DUMMYFUNCTION("IMPORTRANGE(""https://docs.google.com/spreadsheets/d/1MeEWN-I1oV_STSDYn1IFDPWt_1FKiwhDph83XaGc0o0/edit?usp=sharing"",""งบพรบ!BX34"")"),0)</f>
        <v>0</v>
      </c>
      <c r="M157" s="899">
        <f ca="1">IFERROR(__xludf.DUMMYFUNCTION("IMPORTRANGE(""https://docs.google.com/spreadsheets/d/1MeEWN-I1oV_STSDYn1IFDPWt_1FKiwhDph83XaGc0o0/edit?usp=sharing"",""งบพรบ!CA34"")"),0)</f>
        <v>0</v>
      </c>
      <c r="N157" s="899">
        <f ca="1">IFERROR(__xludf.DUMMYFUNCTION("IMPORTRANGE(""https://docs.google.com/spreadsheets/d/1MeEWN-I1oV_STSDYn1IFDPWt_1FKiwhDph83XaGc0o0/edit?usp=sharing"",""งบพรบ!CC34"")"),0)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IFERROR(__xludf.DUMMYFUNCTION("IMPORTRANGE(""https://docs.google.com/spreadsheets/d/1QqKyyYR6Q21VydFLVH3TRQUabQu_ym0Zz7PgGX0-kHA/edit?usp=sharing"",""แผน!X34"")"),0)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10</v>
      </c>
      <c r="J164" s="1073">
        <f t="shared" si="83"/>
        <v>10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21050</v>
      </c>
      <c r="M165" s="1004">
        <f t="shared" ca="1" si="84"/>
        <v>32620</v>
      </c>
      <c r="N165" s="1004">
        <f t="shared" ca="1" si="84"/>
        <v>31720</v>
      </c>
      <c r="O165" s="1004">
        <f t="shared" ref="O165:O173" ca="1" si="85">IF(L165&gt;0,N165*100/L165,0)</f>
        <v>150.68883610451306</v>
      </c>
      <c r="P165" s="1004">
        <f t="shared" ref="P165:P173" ca="1" si="86">IF(M165&gt;0,N165*100/M165,0)</f>
        <v>97.240956468424287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21050</v>
      </c>
      <c r="M167" s="899">
        <f t="shared" ca="1" si="87"/>
        <v>32620</v>
      </c>
      <c r="N167" s="899">
        <f t="shared" ca="1" si="87"/>
        <v>31720</v>
      </c>
      <c r="O167" s="899">
        <f t="shared" ca="1" si="85"/>
        <v>150.68883610451306</v>
      </c>
      <c r="P167" s="899">
        <f t="shared" ca="1" si="86"/>
        <v>97.240956468424287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21050</v>
      </c>
      <c r="M168" s="893">
        <f t="shared" ca="1" si="88"/>
        <v>32620</v>
      </c>
      <c r="N168" s="893">
        <f t="shared" ca="1" si="88"/>
        <v>31720</v>
      </c>
      <c r="O168" s="893">
        <f t="shared" ca="1" si="85"/>
        <v>150.68883610451306</v>
      </c>
      <c r="P168" s="893">
        <f t="shared" ca="1" si="86"/>
        <v>97.240956468424287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IFERROR(__xludf.DUMMYFUNCTION("IMPORTRANGE(""https://docs.google.com/spreadsheets/d/1MeEWN-I1oV_STSDYn1IFDPWt_1FKiwhDph83XaGc0o0/edit?usp=sharing"",""งบพรบ!CE34"")"),21050)</f>
        <v>21050</v>
      </c>
      <c r="M170" s="899">
        <f ca="1">IFERROR(__xludf.DUMMYFUNCTION("IMPORTRANGE(""https://docs.google.com/spreadsheets/d/1MeEWN-I1oV_STSDYn1IFDPWt_1FKiwhDph83XaGc0o0/edit?usp=sharing"",""งบพรบ!CJ34"")"),32620)</f>
        <v>32620</v>
      </c>
      <c r="N170" s="899">
        <f ca="1">IFERROR(__xludf.DUMMYFUNCTION("IMPORTRANGE(""https://docs.google.com/spreadsheets/d/1MeEWN-I1oV_STSDYn1IFDPWt_1FKiwhDph83XaGc0o0/edit?usp=sharing"",""งบพรบ!CL34"")"),31720)</f>
        <v>31720</v>
      </c>
      <c r="O170" s="899">
        <f t="shared" ca="1" si="85"/>
        <v>150.68883610451306</v>
      </c>
      <c r="P170" s="899">
        <f t="shared" ca="1" si="86"/>
        <v>97.240956468424287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IFERROR(__xludf.DUMMYFUNCTION("IMPORTRANGE(""https://docs.google.com/spreadsheets/d/1MeEWN-I1oV_STSDYn1IFDPWt_1FKiwhDph83XaGc0o0/edit?usp=sharing"",""งบพรบ!CH34"")"),0)</f>
        <v>0</v>
      </c>
      <c r="M173" s="899">
        <f ca="1">IFERROR(__xludf.DUMMYFUNCTION("IMPORTRANGE(""https://docs.google.com/spreadsheets/d/1MeEWN-I1oV_STSDYn1IFDPWt_1FKiwhDph83XaGc0o0/edit?usp=sharing"",""งบพรบ!CK34"")"),0)</f>
        <v>0</v>
      </c>
      <c r="N173" s="899">
        <f ca="1">IFERROR(__xludf.DUMMYFUNCTION("IMPORTRANGE(""https://docs.google.com/spreadsheets/d/1MeEWN-I1oV_STSDYn1IFDPWt_1FKiwhDph83XaGc0o0/edit?usp=sharing"",""งบพรบ!CM34"")"),0)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10</v>
      </c>
      <c r="J174" s="1080">
        <f t="shared" si="90"/>
        <v>10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IFERROR(__xludf.DUMMYFUNCTION("IMPORTRANGE(""https://docs.google.com/spreadsheets/d/1QqKyyYR6Q21VydFLVH3TRQUabQu_ym0Zz7PgGX0-kHA/edit?usp=sharing"",""แผน!Y34"")"),10)</f>
        <v>10</v>
      </c>
      <c r="J176" s="1024">
        <v>10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362500</v>
      </c>
      <c r="M181" s="1004">
        <f t="shared" ca="1" si="92"/>
        <v>269500</v>
      </c>
      <c r="N181" s="1004">
        <f t="shared" ca="1" si="92"/>
        <v>143477</v>
      </c>
      <c r="O181" s="1004">
        <f t="shared" ref="O181:O189" ca="1" si="93">IF(L181&gt;0,N181*100/L181,0)</f>
        <v>39.579862068965518</v>
      </c>
      <c r="P181" s="1004">
        <f t="shared" ref="P181:P189" ca="1" si="94">IF(M181&gt;0,N181*100/M181,0)</f>
        <v>53.238218923933211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362500</v>
      </c>
      <c r="M183" s="899">
        <f t="shared" ca="1" si="95"/>
        <v>269500</v>
      </c>
      <c r="N183" s="899">
        <f t="shared" ca="1" si="95"/>
        <v>143477</v>
      </c>
      <c r="O183" s="899">
        <f t="shared" ca="1" si="93"/>
        <v>39.579862068965518</v>
      </c>
      <c r="P183" s="899">
        <f t="shared" ca="1" si="94"/>
        <v>53.238218923933211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362500</v>
      </c>
      <c r="M184" s="893">
        <f t="shared" ca="1" si="96"/>
        <v>269500</v>
      </c>
      <c r="N184" s="893">
        <f t="shared" ca="1" si="96"/>
        <v>143477</v>
      </c>
      <c r="O184" s="893">
        <f t="shared" ca="1" si="93"/>
        <v>39.579862068965518</v>
      </c>
      <c r="P184" s="893">
        <f t="shared" ca="1" si="94"/>
        <v>53.238218923933211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IFERROR(__xludf.DUMMYFUNCTION("IMPORTRANGE(""https://docs.google.com/spreadsheets/d/1MeEWN-I1oV_STSDYn1IFDPWt_1FKiwhDph83XaGc0o0/edit?usp=sharing"",""งบพรบ!CO34"")"),362500)</f>
        <v>362500</v>
      </c>
      <c r="M186" s="899">
        <f ca="1">IFERROR(__xludf.DUMMYFUNCTION("IMPORTRANGE(""https://docs.google.com/spreadsheets/d/1MeEWN-I1oV_STSDYn1IFDPWt_1FKiwhDph83XaGc0o0/edit?usp=sharing"",""งบพรบ!CT34"")"),269500)</f>
        <v>269500</v>
      </c>
      <c r="N186" s="899">
        <f ca="1">IFERROR(__xludf.DUMMYFUNCTION("IMPORTRANGE(""https://docs.google.com/spreadsheets/d/1MeEWN-I1oV_STSDYn1IFDPWt_1FKiwhDph83XaGc0o0/edit?usp=sharing"",""งบพรบ!CV34"")"),143477)</f>
        <v>143477</v>
      </c>
      <c r="O186" s="899">
        <f t="shared" ca="1" si="93"/>
        <v>39.579862068965518</v>
      </c>
      <c r="P186" s="899">
        <f t="shared" ca="1" si="94"/>
        <v>53.238218923933211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IFERROR(__xludf.DUMMYFUNCTION("IMPORTRANGE(""https://docs.google.com/spreadsheets/d/1MeEWN-I1oV_STSDYn1IFDPWt_1FKiwhDph83XaGc0o0/edit?usp=sharing"",""งบพรบ!CR34"")"),0)</f>
        <v>0</v>
      </c>
      <c r="M189" s="899">
        <f ca="1">IFERROR(__xludf.DUMMYFUNCTION("IMPORTRANGE(""https://docs.google.com/spreadsheets/d/1MeEWN-I1oV_STSDYn1IFDPWt_1FKiwhDph83XaGc0o0/edit?usp=sharing"",""งบพรบ!CU34"")"),0)</f>
        <v>0</v>
      </c>
      <c r="N189" s="899">
        <f ca="1">IFERROR(__xludf.DUMMYFUNCTION("IMPORTRANGE(""https://docs.google.com/spreadsheets/d/1MeEWN-I1oV_STSDYn1IFDPWt_1FKiwhDph83XaGc0o0/edit?usp=sharing"",""งบพรบ!CW34"")"),0)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IFERROR(__xludf.DUMMYFUNCTION("IMPORTRANGE(""https://docs.google.com/spreadsheets/d/1QqKyyYR6Q21VydFLVH3TRQUabQu_ym0Zz7PgGX0-kHA/edit?usp=sharing"",""แผน!Z34"")"),6000)</f>
        <v>6000</v>
      </c>
      <c r="M191" s="1004"/>
      <c r="N191" s="1092">
        <v>4760</v>
      </c>
      <c r="O191" s="1004">
        <f ca="1">IF(L191&gt;0,N191*100/L191,0)</f>
        <v>79.333333333333329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IFERROR(__xludf.DUMMYFUNCTION("IMPORTRANGE(""https://docs.google.com/spreadsheets/d/1QqKyyYR6Q21VydFLVH3TRQUabQu_ym0Zz7PgGX0-kHA/edit?usp=sharing"",""แผน!AC34"")"),4)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88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88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4</v>
      </c>
      <c r="J197" s="1089">
        <f t="shared" si="99"/>
        <v>4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52000</v>
      </c>
      <c r="M198" s="1004"/>
      <c r="N198" s="1004">
        <f>N199+N200+N201+N202</f>
        <v>21790</v>
      </c>
      <c r="O198" s="1004">
        <f ca="1">IF(L198&gt;0,N198*100/L198,0)</f>
        <v>41.903846153846153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IFERROR(__xludf.DUMMYFUNCTION("IMPORTRANGE(""https://docs.google.com/spreadsheets/d/1QqKyyYR6Q21VydFLVH3TRQUabQu_ym0Zz7PgGX0-kHA/edit?usp=sharing"",""แผน!AE34"")"),4000)</f>
        <v>4000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IFERROR(__xludf.DUMMYFUNCTION("IMPORTRANGE(""https://docs.google.com/spreadsheets/d/1QqKyyYR6Q21VydFLVH3TRQUabQu_ym0Zz7PgGX0-kHA/edit?usp=sharing"",""แผน!AF34"")"),32000)</f>
        <v>32000</v>
      </c>
      <c r="M200" s="893"/>
      <c r="N200" s="1096">
        <v>21790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IFERROR(__xludf.DUMMYFUNCTION("IMPORTRANGE(""https://docs.google.com/spreadsheets/d/1QqKyyYR6Q21VydFLVH3TRQUabQu_ym0Zz7PgGX0-kHA/edit?usp=sharing"",""แผน!AG34"")"),16000)</f>
        <v>16000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IFERROR(__xludf.DUMMYFUNCTION("IMPORTRANGE(""https://docs.google.com/spreadsheets/d/1QqKyyYR6Q21VydFLVH3TRQUabQu_ym0Zz7PgGX0-kHA/edit?usp=sharing"",""แผน!AH34"")"),0)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IFERROR(__xludf.DUMMYFUNCTION("IMPORTRANGE(""https://docs.google.com/spreadsheets/d/1QqKyyYR6Q21VydFLVH3TRQUabQu_ym0Zz7PgGX0-kHA/edit?usp=sharing"",""แผน!AI34"")"),4)</f>
        <v>4</v>
      </c>
      <c r="J204" s="1024">
        <v>4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4</v>
      </c>
      <c r="J206" s="1024">
        <v>4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IFERROR(__xludf.DUMMYFUNCTION("IMPORTRANGE(""https://docs.google.com/spreadsheets/d/1QqKyyYR6Q21VydFLVH3TRQUabQu_ym0Zz7PgGX0-kHA/edit?usp=sharing"",""แผน!AK34"")"),0)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IFERROR(__xludf.DUMMYFUNCTION("IMPORTRANGE(""https://docs.google.com/spreadsheets/d/1QqKyyYR6Q21VydFLVH3TRQUabQu_ym0Zz7PgGX0-kHA/edit?usp=sharing"",""แผน!AL34"")"),0)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IFERROR(__xludf.DUMMYFUNCTION("IMPORTRANGE(""https://docs.google.com/spreadsheets/d/1QqKyyYR6Q21VydFLVH3TRQUabQu_ym0Zz7PgGX0-kHA/edit?usp=sharing"",""แผน!AM34"")"),0)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IFERROR(__xludf.DUMMYFUNCTION("IMPORTRANGE(""https://docs.google.com/spreadsheets/d/1QqKyyYR6Q21VydFLVH3TRQUabQu_ym0Zz7PgGX0-kHA/edit?usp=sharing"",""แผน!AN34"")"),0)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IFERROR(__xludf.DUMMYFUNCTION("IMPORTRANGE(""https://docs.google.com/spreadsheets/d/1QqKyyYR6Q21VydFLVH3TRQUabQu_ym0Zz7PgGX0-kHA/edit?usp=sharing"",""แผน!AN34"")"),0)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50000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18500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IFERROR(__xludf.DUMMYFUNCTION("IMPORTRANGE(""https://docs.google.com/spreadsheets/d/1QqKyyYR6Q21VydFLVH3TRQUabQu_ym0Zz7PgGX0-kHA/edit?usp=sharing"",""แผน!AP34"")"),5000)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IFERROR(__xludf.DUMMYFUNCTION("IMPORTRANGE(""https://docs.google.com/spreadsheets/d/1QqKyyYR6Q21VydFLVH3TRQUabQu_ym0Zz7PgGX0-kHA/edit?usp=sharing"",""แผน!AQ34"")"),13500)</f>
        <v>13500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IFERROR(__xludf.DUMMYFUNCTION("IMPORTRANGE(""https://docs.google.com/spreadsheets/d/1QqKyyYR6Q21VydFLVH3TRQUabQu_ym0Zz7PgGX0-kHA/edit?usp=sharing"",""แผน!AR34"")"),0)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IFERROR(__xludf.DUMMYFUNCTION("IMPORTRANGE(""https://docs.google.com/spreadsheets/d/1QqKyyYR6Q21VydFLVH3TRQUabQu_ym0Zz7PgGX0-kHA/edit?usp=sharing"",""แผน!AT34"")"),50000)</f>
        <v>50000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IFERROR(__xludf.DUMMYFUNCTION("IMPORTRANGE(""https://docs.google.com/spreadsheets/d/1QqKyyYR6Q21VydFLVH3TRQUabQu_ym0Zz7PgGX0-kHA/edit?usp=sharing"",""แผน!AT34"")"),50000)</f>
        <v>50000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IFERROR(__xludf.DUMMYFUNCTION("IMPORTRANGE(""https://docs.google.com/spreadsheets/d/1QqKyyYR6Q21VydFLVH3TRQUabQu_ym0Zz7PgGX0-kHA/edit?usp=sharing"",""แผน!AS34"")"),0)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IFERROR(__xludf.DUMMYFUNCTION("IMPORTRANGE(""https://docs.google.com/spreadsheets/d/1QqKyyYR6Q21VydFLVH3TRQUabQu_ym0Zz7PgGX0-kHA/edit?usp=sharing"",""แผน!AV34"")"),0)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IFERROR(__xludf.DUMMYFUNCTION("IMPORTRANGE(""https://docs.google.com/spreadsheets/d/1QqKyyYR6Q21VydFLVH3TRQUabQu_ym0Zz7PgGX0-kHA/edit?usp=sharing"",""แผน!AW34"")"),0)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IFERROR(__xludf.DUMMYFUNCTION("IMPORTRANGE(""https://docs.google.com/spreadsheets/d/1QqKyyYR6Q21VydFLVH3TRQUabQu_ym0Zz7PgGX0-kHA/edit?usp=sharing"",""แผน!AX34"")"),0)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IFERROR(__xludf.DUMMYFUNCTION("IMPORTRANGE(""https://docs.google.com/spreadsheets/d/1QqKyyYR6Q21VydFLVH3TRQUabQu_ym0Zz7PgGX0-kHA/edit?usp=sharing"",""แผน!AY34"")"),0)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IFERROR(__xludf.DUMMYFUNCTION("IMPORTRANGE(""https://docs.google.com/spreadsheets/d/1QqKyyYR6Q21VydFLVH3TRQUabQu_ym0Zz7PgGX0-kHA/edit?usp=sharing"",""แผน!BE34"")"),0)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IFERROR(__xludf.DUMMYFUNCTION("IMPORTRANGE(""https://docs.google.com/spreadsheets/d/1QqKyyYR6Q21VydFLVH3TRQUabQu_ym0Zz7PgGX0-kHA/edit?usp=sharing"",""แผน!AZ34"")"),0)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IFERROR(__xludf.DUMMYFUNCTION("IMPORTRANGE(""https://docs.google.com/spreadsheets/d/1QqKyyYR6Q21VydFLVH3TRQUabQu_ym0Zz7PgGX0-kHA/edit?usp=sharing"",""แผน!BA34"")"),0)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IFERROR(__xludf.DUMMYFUNCTION("IMPORTRANGE(""https://docs.google.com/spreadsheets/d/1QqKyyYR6Q21VydFLVH3TRQUabQu_ym0Zz7PgGX0-kHA/edit?usp=sharing"",""แผน!BB34"")"),0)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IFERROR(__xludf.DUMMYFUNCTION("IMPORTRANGE(""https://docs.google.com/spreadsheets/d/1QqKyyYR6Q21VydFLVH3TRQUabQu_ym0Zz7PgGX0-kHA/edit?usp=sharing"",""แผน!BC34"")"),0)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IFERROR(__xludf.DUMMYFUNCTION("IMPORTRANGE(""https://docs.google.com/spreadsheets/d/1QqKyyYR6Q21VydFLVH3TRQUabQu_ym0Zz7PgGX0-kHA/edit?usp=sharing"",""แผน!BF34"")"),0)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23900</v>
      </c>
      <c r="O261" s="1004">
        <f t="shared" ref="O261:O269" ca="1" si="117">IF(L261&gt;0,N261*100/L261,0)</f>
        <v>88.847583643122675</v>
      </c>
      <c r="P261" s="1004">
        <f t="shared" ref="P261:P269" ca="1" si="118">IF(M261&gt;0,N261*100/M261,0)</f>
        <v>100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23900</v>
      </c>
      <c r="O263" s="899">
        <f t="shared" ca="1" si="117"/>
        <v>88.847583643122675</v>
      </c>
      <c r="P263" s="899">
        <f t="shared" ca="1" si="118"/>
        <v>100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23900</v>
      </c>
      <c r="O264" s="893">
        <f t="shared" ca="1" si="117"/>
        <v>88.847583643122675</v>
      </c>
      <c r="P264" s="893">
        <f t="shared" ca="1" si="118"/>
        <v>100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IFERROR(__xludf.DUMMYFUNCTION("IMPORTRANGE(""https://docs.google.com/spreadsheets/d/1MeEWN-I1oV_STSDYn1IFDPWt_1FKiwhDph83XaGc0o0/edit?usp=sharing"",""งบพรบ!CY34"")"),26900)</f>
        <v>26900</v>
      </c>
      <c r="M266" s="899">
        <f ca="1">IFERROR(__xludf.DUMMYFUNCTION("IMPORTRANGE(""https://docs.google.com/spreadsheets/d/1MeEWN-I1oV_STSDYn1IFDPWt_1FKiwhDph83XaGc0o0/edit?usp=sharing"",""งบพรบ!DD34"")"),23900)</f>
        <v>23900</v>
      </c>
      <c r="N266" s="899">
        <f ca="1">IFERROR(__xludf.DUMMYFUNCTION("IMPORTRANGE(""https://docs.google.com/spreadsheets/d/1MeEWN-I1oV_STSDYn1IFDPWt_1FKiwhDph83XaGc0o0/edit?usp=sharing"",""งบพรบ!DF34"")"),23900)</f>
        <v>23900</v>
      </c>
      <c r="O266" s="899">
        <f t="shared" ca="1" si="117"/>
        <v>88.847583643122675</v>
      </c>
      <c r="P266" s="899">
        <f t="shared" ca="1" si="118"/>
        <v>100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IFERROR(__xludf.DUMMYFUNCTION("IMPORTRANGE(""https://docs.google.com/spreadsheets/d/1MeEWN-I1oV_STSDYn1IFDPWt_1FKiwhDph83XaGc0o0/edit?usp=sharing"",""งบพรบ!DB34"")"),0)</f>
        <v>0</v>
      </c>
      <c r="M269" s="899">
        <f ca="1">IFERROR(__xludf.DUMMYFUNCTION("IMPORTRANGE(""https://docs.google.com/spreadsheets/d/1MeEWN-I1oV_STSDYn1IFDPWt_1FKiwhDph83XaGc0o0/edit?usp=sharing"",""งบพรบ!DE34"")"),0)</f>
        <v>0</v>
      </c>
      <c r="N269" s="899">
        <f ca="1">IFERROR(__xludf.DUMMYFUNCTION("IMPORTRANGE(""https://docs.google.com/spreadsheets/d/1MeEWN-I1oV_STSDYn1IFDPWt_1FKiwhDph83XaGc0o0/edit?usp=sharing"",""งบพรบ!DG34"")"),0)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IFERROR(__xludf.DUMMYFUNCTION("IMPORTRANGE(""https://docs.google.com/spreadsheets/d/1QqKyyYR6Q21VydFLVH3TRQUabQu_ym0Zz7PgGX0-kHA/edit?usp=sharing"",""แผน!EA34"")"),22)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70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700</v>
      </c>
      <c r="J276" s="1173">
        <f t="shared" si="124"/>
        <v>0</v>
      </c>
      <c r="K276" s="1172">
        <f t="shared" ca="1" si="123"/>
        <v>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413560</v>
      </c>
      <c r="M277" s="1004">
        <f t="shared" ca="1" si="125"/>
        <v>373010</v>
      </c>
      <c r="N277" s="1004">
        <f t="shared" ca="1" si="125"/>
        <v>89160</v>
      </c>
      <c r="O277" s="1004">
        <f t="shared" ref="O277:O285" ca="1" si="126">IF(L277&gt;0,N277*100/L277,0)</f>
        <v>21.559144985008221</v>
      </c>
      <c r="P277" s="1004">
        <f t="shared" ref="P277:P285" ca="1" si="127">IF(M277&gt;0,N277*100/M277,0)</f>
        <v>23.902844427763331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413560</v>
      </c>
      <c r="M279" s="899">
        <f t="shared" ca="1" si="128"/>
        <v>373010</v>
      </c>
      <c r="N279" s="899">
        <f t="shared" ca="1" si="128"/>
        <v>89160</v>
      </c>
      <c r="O279" s="899">
        <f t="shared" ca="1" si="126"/>
        <v>21.559144985008221</v>
      </c>
      <c r="P279" s="899">
        <f t="shared" ca="1" si="127"/>
        <v>23.902844427763331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413560</v>
      </c>
      <c r="M280" s="893">
        <f t="shared" ca="1" si="129"/>
        <v>373010</v>
      </c>
      <c r="N280" s="893">
        <f t="shared" ca="1" si="129"/>
        <v>89160</v>
      </c>
      <c r="O280" s="893">
        <f t="shared" ca="1" si="126"/>
        <v>21.559144985008221</v>
      </c>
      <c r="P280" s="893">
        <f t="shared" ca="1" si="127"/>
        <v>23.902844427763331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IFERROR(__xludf.DUMMYFUNCTION("IMPORTRANGE(""https://docs.google.com/spreadsheets/d/1MeEWN-I1oV_STSDYn1IFDPWt_1FKiwhDph83XaGc0o0/edit?usp=sharing"",""งบพรบ!DI34"")"),413560)</f>
        <v>413560</v>
      </c>
      <c r="M282" s="899">
        <f ca="1">IFERROR(__xludf.DUMMYFUNCTION("IMPORTRANGE(""https://docs.google.com/spreadsheets/d/1MeEWN-I1oV_STSDYn1IFDPWt_1FKiwhDph83XaGc0o0/edit?usp=sharing"",""งบพรบ!DN34"")"),373010)</f>
        <v>373010</v>
      </c>
      <c r="N282" s="899">
        <f ca="1">IFERROR(__xludf.DUMMYFUNCTION("IMPORTRANGE(""https://docs.google.com/spreadsheets/d/1MeEWN-I1oV_STSDYn1IFDPWt_1FKiwhDph83XaGc0o0/edit?usp=sharing"",""งบพรบ!DP34"")"),89160)</f>
        <v>89160</v>
      </c>
      <c r="O282" s="899">
        <f t="shared" ca="1" si="126"/>
        <v>21.559144985008221</v>
      </c>
      <c r="P282" s="899">
        <f t="shared" ca="1" si="127"/>
        <v>23.902844427763331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IFERROR(__xludf.DUMMYFUNCTION("IMPORTRANGE(""https://docs.google.com/spreadsheets/d/1MeEWN-I1oV_STSDYn1IFDPWt_1FKiwhDph83XaGc0o0/edit?usp=sharing"",""งบพรบ!DL34"")"),0)</f>
        <v>0</v>
      </c>
      <c r="M285" s="899">
        <f ca="1">IFERROR(__xludf.DUMMYFUNCTION("IMPORTRANGE(""https://docs.google.com/spreadsheets/d/1MeEWN-I1oV_STSDYn1IFDPWt_1FKiwhDph83XaGc0o0/edit?usp=sharing"",""งบพรบ!DO34"")"),0)</f>
        <v>0</v>
      </c>
      <c r="N285" s="899">
        <f ca="1">IFERROR(__xludf.DUMMYFUNCTION("IMPORTRANGE(""https://docs.google.com/spreadsheets/d/1MeEWN-I1oV_STSDYn1IFDPWt_1FKiwhDph83XaGc0o0/edit?usp=sharing"",""งบพรบ!DQ34"")"),0)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IFERROR(__xludf.DUMMYFUNCTION("IMPORTRANGE(""https://docs.google.com/spreadsheets/d/1QqKyyYR6Q21VydFLVH3TRQUabQu_ym0Zz7PgGX0-kHA/edit?usp=sharing"",""แผน!EC34"")"),700)</f>
        <v>700</v>
      </c>
      <c r="J287" s="1024">
        <v>0</v>
      </c>
      <c r="K287" s="1010">
        <f t="shared" ref="K287:K288" ca="1" si="131">IF(I287&gt;0,J287*100/I287,0)</f>
        <v>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IFERROR(__xludf.DUMMYFUNCTION("IMPORTRANGE(""https://docs.google.com/spreadsheets/d/1QqKyyYR6Q21VydFLVH3TRQUabQu_ym0Zz7PgGX0-kHA/edit?usp=sharing"",""แผน!EB34"")"),70)</f>
        <v>70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IFERROR(__xludf.DUMMYFUNCTION("IMPORTRANGE(""https://docs.google.com/spreadsheets/d/1QqKyyYR6Q21VydFLVH3TRQUabQu_ym0Zz7PgGX0-kHA/edit?usp=sharing"",""แผน!EB34"")"),70)</f>
        <v>70</v>
      </c>
      <c r="J290" s="1024">
        <v>70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IFERROR(__xludf.DUMMYFUNCTION("IMPORTRANGE(""https://docs.google.com/spreadsheets/d/1QqKyyYR6Q21VydFLVH3TRQUabQu_ym0Zz7PgGX0-kHA/edit?usp=sharing"",""แผน!EB34"")"),70)</f>
        <v>70</v>
      </c>
      <c r="J291" s="1024">
        <v>70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IFERROR(__xludf.DUMMYFUNCTION("IMPORTRANGE(""https://docs.google.com/spreadsheets/d/1QqKyyYR6Q21VydFLVH3TRQUabQu_ym0Zz7PgGX0-kHA/edit?usp=sharing"",""แผน!EB34"")"),70)</f>
        <v>70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IFERROR(__xludf.DUMMYFUNCTION("IMPORTRANGE(""https://docs.google.com/spreadsheets/d/1QqKyyYR6Q21VydFLVH3TRQUabQu_ym0Zz7PgGX0-kHA/edit?usp=sharing"",""แผน!EB34"")"),70)</f>
        <v>70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IFERROR(__xludf.DUMMYFUNCTION("IMPORTRANGE(""https://docs.google.com/spreadsheets/d/1MeEWN-I1oV_STSDYn1IFDPWt_1FKiwhDph83XaGc0o0/edit?usp=sharing"",""งบพรบ!DS34"")"),0)</f>
        <v>0</v>
      </c>
      <c r="M303" s="899">
        <f ca="1">IFERROR(__xludf.DUMMYFUNCTION("IMPORTRANGE(""https://docs.google.com/spreadsheets/d/1MeEWN-I1oV_STSDYn1IFDPWt_1FKiwhDph83XaGc0o0/edit?usp=sharing"",""งบพรบ!DX34"")"),0)</f>
        <v>0</v>
      </c>
      <c r="N303" s="899">
        <f ca="1">IFERROR(__xludf.DUMMYFUNCTION("IMPORTRANGE(""https://docs.google.com/spreadsheets/d/1MeEWN-I1oV_STSDYn1IFDPWt_1FKiwhDph83XaGc0o0/edit?usp=sharing"",""งบพรบ!DZ34"")"),0)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IFERROR(__xludf.DUMMYFUNCTION("IMPORTRANGE(""https://docs.google.com/spreadsheets/d/1MeEWN-I1oV_STSDYn1IFDPWt_1FKiwhDph83XaGc0o0/edit?usp=sharing"",""งบพรบ!DV34"")"),0)</f>
        <v>0</v>
      </c>
      <c r="M306" s="899">
        <f ca="1">IFERROR(__xludf.DUMMYFUNCTION("IMPORTRANGE(""https://docs.google.com/spreadsheets/d/1MeEWN-I1oV_STSDYn1IFDPWt_1FKiwhDph83XaGc0o0/edit?usp=sharing"",""งบพรบ!DY34"")"),0)</f>
        <v>0</v>
      </c>
      <c r="N306" s="899">
        <f ca="1">IFERROR(__xludf.DUMMYFUNCTION("IMPORTRANGE(""https://docs.google.com/spreadsheets/d/1MeEWN-I1oV_STSDYn1IFDPWt_1FKiwhDph83XaGc0o0/edit?usp=sharing"",""งบพรบ!EA34"")"),0)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IFERROR(__xludf.DUMMYFUNCTION("IMPORTRANGE(""https://docs.google.com/spreadsheets/d/1QqKyyYR6Q21VydFLVH3TRQUabQu_ym0Zz7PgGX0-kHA/edit?usp=sharing"",""แผน!ED34"")"),0)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IFERROR(__xludf.DUMMYFUNCTION("IMPORTRANGE(""https://docs.google.com/spreadsheets/d/1QqKyyYR6Q21VydFLVH3TRQUabQu_ym0Zz7PgGX0-kHA/edit?usp=sharing"",""แผน!ED34"")"),0)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IFERROR(__xludf.DUMMYFUNCTION("IMPORTRANGE(""https://docs.google.com/spreadsheets/d/1QqKyyYR6Q21VydFLVH3TRQUabQu_ym0Zz7PgGX0-kHA/edit?usp=sharing"",""แผน!ED34"")"),0)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IFERROR(__xludf.DUMMYFUNCTION("IMPORTRANGE(""https://docs.google.com/spreadsheets/d/1QqKyyYR6Q21VydFLVH3TRQUabQu_ym0Zz7PgGX0-kHA/edit?usp=sharing"",""แผน!EE34"")"),0)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IFERROR(__xludf.DUMMYFUNCTION("IMPORTRANGE(""https://docs.google.com/spreadsheets/d/1MeEWN-I1oV_STSDYn1IFDPWt_1FKiwhDph83XaGc0o0/edit?usp=sharing"",""งบพรบ!EC34"")"),0)</f>
        <v>0</v>
      </c>
      <c r="M320" s="899">
        <f ca="1">IFERROR(__xludf.DUMMYFUNCTION("IMPORTRANGE(""https://docs.google.com/spreadsheets/d/1MeEWN-I1oV_STSDYn1IFDPWt_1FKiwhDph83XaGc0o0/edit?usp=sharing"",""งบพรบ!EH34"")"),0)</f>
        <v>0</v>
      </c>
      <c r="N320" s="899">
        <f ca="1">IFERROR(__xludf.DUMMYFUNCTION("IMPORTRANGE(""https://docs.google.com/spreadsheets/d/1MeEWN-I1oV_STSDYn1IFDPWt_1FKiwhDph83XaGc0o0/edit?usp=sharing"",""งบพรบ!EJ34"")"),0)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IFERROR(__xludf.DUMMYFUNCTION("IMPORTRANGE(""https://docs.google.com/spreadsheets/d/1MeEWN-I1oV_STSDYn1IFDPWt_1FKiwhDph83XaGc0o0/edit?usp=sharing"",""งบพรบ!EF34"")"),0)</f>
        <v>0</v>
      </c>
      <c r="M323" s="899">
        <f ca="1">IFERROR(__xludf.DUMMYFUNCTION("IMPORTRANGE(""https://docs.google.com/spreadsheets/d/1MeEWN-I1oV_STSDYn1IFDPWt_1FKiwhDph83XaGc0o0/edit?usp=sharing"",""งบพรบ!EI34"")"),0)</f>
        <v>0</v>
      </c>
      <c r="N323" s="899">
        <f ca="1">IFERROR(__xludf.DUMMYFUNCTION("IMPORTRANGE(""https://docs.google.com/spreadsheets/d/1MeEWN-I1oV_STSDYn1IFDPWt_1FKiwhDph83XaGc0o0/edit?usp=sharing"",""งบพรบ!EK34"")"),0)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IFERROR(__xludf.DUMMYFUNCTION("IMPORTRANGE(""https://docs.google.com/spreadsheets/d/1QqKyyYR6Q21VydFLVH3TRQUabQu_ym0Zz7PgGX0-kHA/edit?usp=sharing"",""แผน!EF34"")"),0)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IFERROR(__xludf.DUMMYFUNCTION("IMPORTRANGE(""https://docs.google.com/spreadsheets/d/1QqKyyYR6Q21VydFLVH3TRQUabQu_ym0Zz7PgGX0-kHA/edit?usp=sharing"",""แผน!EG34"")"),3400)</f>
        <v>3400</v>
      </c>
      <c r="J327" s="1202">
        <f ca="1">J338+J341+J342+J343</f>
        <v>3991</v>
      </c>
      <c r="K327" s="1203">
        <f ca="1">IF(I327&gt;0,J327*100/I327,0)</f>
        <v>117.38235294117646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183000</v>
      </c>
      <c r="M328" s="1004">
        <f t="shared" ca="1" si="149"/>
        <v>139750</v>
      </c>
      <c r="N328" s="1004">
        <f t="shared" ca="1" si="149"/>
        <v>96004</v>
      </c>
      <c r="O328" s="1004">
        <f t="shared" ref="O328:O336" ca="1" si="150">IF(L328&gt;0,N328*100/L328,0)</f>
        <v>52.461202185792352</v>
      </c>
      <c r="P328" s="1004">
        <f t="shared" ref="P328:P336" ca="1" si="151">IF(M328&gt;0,N328*100/M328,0)</f>
        <v>68.696958855098387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183000</v>
      </c>
      <c r="M330" s="899">
        <f t="shared" ca="1" si="152"/>
        <v>139750</v>
      </c>
      <c r="N330" s="899">
        <f t="shared" ca="1" si="152"/>
        <v>96004</v>
      </c>
      <c r="O330" s="899">
        <f t="shared" ca="1" si="150"/>
        <v>52.461202185792352</v>
      </c>
      <c r="P330" s="899">
        <f t="shared" ca="1" si="151"/>
        <v>68.696958855098387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183000</v>
      </c>
      <c r="M331" s="893">
        <f t="shared" ca="1" si="153"/>
        <v>139750</v>
      </c>
      <c r="N331" s="893">
        <f t="shared" ca="1" si="153"/>
        <v>96004</v>
      </c>
      <c r="O331" s="893">
        <f t="shared" ca="1" si="150"/>
        <v>52.461202185792352</v>
      </c>
      <c r="P331" s="893">
        <f t="shared" ca="1" si="151"/>
        <v>68.696958855098387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IFERROR(__xludf.DUMMYFUNCTION("IMPORTRANGE(""https://docs.google.com/spreadsheets/d/1MeEWN-I1oV_STSDYn1IFDPWt_1FKiwhDph83XaGc0o0/edit?usp=sharing"",""งบพรบ!EM34"")"),183000)</f>
        <v>183000</v>
      </c>
      <c r="M333" s="899">
        <f ca="1">IFERROR(__xludf.DUMMYFUNCTION("IMPORTRANGE(""https://docs.google.com/spreadsheets/d/1MeEWN-I1oV_STSDYn1IFDPWt_1FKiwhDph83XaGc0o0/edit?usp=sharing"",""งบพรบ!ER34"")"),139750)</f>
        <v>139750</v>
      </c>
      <c r="N333" s="899">
        <f ca="1">IFERROR(__xludf.DUMMYFUNCTION("IMPORTRANGE(""https://docs.google.com/spreadsheets/d/1MeEWN-I1oV_STSDYn1IFDPWt_1FKiwhDph83XaGc0o0/edit?usp=sharing"",""งบพรบ!ET34"")"),96004)</f>
        <v>96004</v>
      </c>
      <c r="O333" s="899">
        <f t="shared" ca="1" si="150"/>
        <v>52.461202185792352</v>
      </c>
      <c r="P333" s="899">
        <f t="shared" ca="1" si="151"/>
        <v>68.696958855098387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IFERROR(__xludf.DUMMYFUNCTION("IMPORTRANGE(""https://docs.google.com/spreadsheets/d/1MeEWN-I1oV_STSDYn1IFDPWt_1FKiwhDph83XaGc0o0/edit?usp=sharing"",""งบพรบ!EP34"")"),0)</f>
        <v>0</v>
      </c>
      <c r="M336" s="899">
        <f ca="1">IFERROR(__xludf.DUMMYFUNCTION("IMPORTRANGE(""https://docs.google.com/spreadsheets/d/1MeEWN-I1oV_STSDYn1IFDPWt_1FKiwhDph83XaGc0o0/edit?usp=sharing"",""งบพรบ!ES34"")"),0)</f>
        <v>0</v>
      </c>
      <c r="N336" s="899">
        <f ca="1">IFERROR(__xludf.DUMMYFUNCTION("IMPORTRANGE(""https://docs.google.com/spreadsheets/d/1MeEWN-I1oV_STSDYn1IFDPWt_1FKiwhDph83XaGc0o0/edit?usp=sharing"",""งบพรบ!EU34"")"),0)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IFERROR(__xludf.DUMMYFUNCTION("IMPORTRANGE(""https://docs.google.com/spreadsheets/d/1QqKyyYR6Q21VydFLVH3TRQUabQu_ym0Zz7PgGX0-kHA/edit?usp=sharing"",""แผน!EG34"")"),3400)</f>
        <v>3400</v>
      </c>
      <c r="J338" s="892">
        <f ca="1">IFERROR(__xludf.DUMMYFUNCTION("IMPORTRANGE(""https://docs.google.com/spreadsheets/d/1kVcqe37tkHyjCSG3S0O1AXqVkqjo8mSIZil3BcpIysc/edit?usp=sharing"",""ศูนย์!D34"")"),3849)</f>
        <v>3849</v>
      </c>
      <c r="K338" s="893">
        <f ca="1">IF(I338&gt;0,J338*100/I338,0)</f>
        <v>113.20588235294117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IFERROR(__xludf.DUMMYFUNCTION("IMPORTRANGE(""https://docs.google.com/spreadsheets/d/1QqKyyYR6Q21VydFLVH3TRQUabQu_ym0Zz7PgGX0-kHA/edit?usp=sharing"",""แผน!EH34"")"),10)</f>
        <v>10</v>
      </c>
      <c r="J340" s="892">
        <f ca="1">IFERROR(__xludf.DUMMYFUNCTION("IMPORTRANGE(""https://docs.google.com/spreadsheets/d/1kVcqe37tkHyjCSG3S0O1AXqVkqjo8mSIZil3BcpIysc/edit?usp=sharing"",""ศูนย์!E34"")"),2)</f>
        <v>2</v>
      </c>
      <c r="K340" s="893">
        <f ca="1">IF(I340&gt;0,J340*100/I340,0)</f>
        <v>20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IFERROR(__xludf.DUMMYFUNCTION("IMPORTRANGE(""https://docs.google.com/spreadsheets/d/1kVcqe37tkHyjCSG3S0O1AXqVkqjo8mSIZil3BcpIysc/edit?usp=sharing"",""ศูนย์!F34"")"),134)</f>
        <v>134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IFERROR(__xludf.DUMMYFUNCTION("IMPORTRANGE(""https://docs.google.com/spreadsheets/d/1kVcqe37tkHyjCSG3S0O1AXqVkqjo8mSIZil3BcpIysc/edit?usp=sharing"",""ศูนย์!G34"")"),0)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IFERROR(__xludf.DUMMYFUNCTION("IMPORTRANGE(""https://docs.google.com/spreadsheets/d/1kVcqe37tkHyjCSG3S0O1AXqVkqjo8mSIZil3BcpIysc/edit?usp=sharing"",""ศูนย์!H34"")"),8)</f>
        <v>8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1905220</v>
      </c>
      <c r="M345" s="1004">
        <f t="shared" ca="1" si="155"/>
        <v>1449820</v>
      </c>
      <c r="N345" s="1004">
        <f t="shared" ca="1" si="155"/>
        <v>968868.3</v>
      </c>
      <c r="O345" s="1004">
        <f t="shared" ref="O345:O353" ca="1" si="156">IF(L345&gt;0,N345*100/L345,0)</f>
        <v>50.853355517997919</v>
      </c>
      <c r="P345" s="1004">
        <f t="shared" ref="P345:P353" ca="1" si="157">IF(M345&gt;0,N345*100/M345,0)</f>
        <v>66.826799188864825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1905220</v>
      </c>
      <c r="M347" s="899">
        <f t="shared" ca="1" si="158"/>
        <v>1449820</v>
      </c>
      <c r="N347" s="899">
        <f t="shared" ca="1" si="158"/>
        <v>968868.3</v>
      </c>
      <c r="O347" s="899">
        <f t="shared" ca="1" si="156"/>
        <v>50.853355517997919</v>
      </c>
      <c r="P347" s="899">
        <f t="shared" ca="1" si="157"/>
        <v>66.826799188864825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1753620</v>
      </c>
      <c r="M348" s="893">
        <f t="shared" ca="1" si="159"/>
        <v>1298220</v>
      </c>
      <c r="N348" s="893">
        <f t="shared" ca="1" si="159"/>
        <v>817268.3</v>
      </c>
      <c r="O348" s="893">
        <f t="shared" ca="1" si="156"/>
        <v>46.60464068612356</v>
      </c>
      <c r="P348" s="893">
        <f t="shared" ca="1" si="157"/>
        <v>62.952989477900509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IFERROR(__xludf.DUMMYFUNCTION("IMPORTRANGE(""https://docs.google.com/spreadsheets/d/1MeEWN-I1oV_STSDYn1IFDPWt_1FKiwhDph83XaGc0o0/edit?usp=sharing"",""งบพรบ!EW34"")"),1753620)</f>
        <v>1753620</v>
      </c>
      <c r="M350" s="899">
        <f ca="1">IFERROR(__xludf.DUMMYFUNCTION("IMPORTRANGE(""https://docs.google.com/spreadsheets/d/1MeEWN-I1oV_STSDYn1IFDPWt_1FKiwhDph83XaGc0o0/edit?usp=sharing"",""งบพรบ!FB34"")"),1298220)</f>
        <v>1298220</v>
      </c>
      <c r="N350" s="899">
        <f ca="1">IFERROR(__xludf.DUMMYFUNCTION("IMPORTRANGE(""https://docs.google.com/spreadsheets/d/1MeEWN-I1oV_STSDYn1IFDPWt_1FKiwhDph83XaGc0o0/edit?usp=sharing"",""งบพรบ!FD34"")"),817268.3)</f>
        <v>817268.3</v>
      </c>
      <c r="O350" s="899">
        <f t="shared" ca="1" si="156"/>
        <v>46.60464068612356</v>
      </c>
      <c r="P350" s="899">
        <f t="shared" ca="1" si="157"/>
        <v>62.952989477900509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151600</v>
      </c>
      <c r="M351" s="893">
        <f t="shared" ca="1" si="160"/>
        <v>151600</v>
      </c>
      <c r="N351" s="893">
        <f t="shared" ca="1" si="160"/>
        <v>151600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IFERROR(__xludf.DUMMYFUNCTION("IMPORTRANGE(""https://docs.google.com/spreadsheets/d/1MeEWN-I1oV_STSDYn1IFDPWt_1FKiwhDph83XaGc0o0/edit?usp=sharing"",""งบพรบ!EZ34"")"),151600)</f>
        <v>151600</v>
      </c>
      <c r="M353" s="899">
        <f ca="1">IFERROR(__xludf.DUMMYFUNCTION("IMPORTRANGE(""https://docs.google.com/spreadsheets/d/1MeEWN-I1oV_STSDYn1IFDPWt_1FKiwhDph83XaGc0o0/edit?usp=sharing"",""งบพรบ!FC34"")"),151600)</f>
        <v>151600</v>
      </c>
      <c r="N353" s="899">
        <f ca="1">IFERROR(__xludf.DUMMYFUNCTION("IMPORTRANGE(""https://docs.google.com/spreadsheets/d/1MeEWN-I1oV_STSDYn1IFDPWt_1FKiwhDph83XaGc0o0/edit?usp=sharing"",""งบพรบ!FE34"")"),151600)</f>
        <v>151600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IFERROR(__xludf.DUMMYFUNCTION("IMPORTRANGE(""https://docs.google.com/spreadsheets/d/1QqKyyYR6Q21VydFLVH3TRQUabQu_ym0Zz7PgGX0-kHA/edit?usp=sharing"",""แผน!EP34"")"),700)</f>
        <v>700</v>
      </c>
      <c r="J355" s="1218">
        <f ca="1">J362</f>
        <v>49</v>
      </c>
      <c r="K355" s="1219">
        <f ca="1">IF(I355&gt;0,J355*100/I355,0)</f>
        <v>7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IFERROR(__xludf.DUMMYFUNCTION("IMPORTRANGE(""https://docs.google.com/spreadsheets/d/1XWAQStnk-4SwqDmLtmXYiTMKHgktTP8We1SCoS47DrQ/edit?usp=sharing"",""จัดที่ดิน!W34"")"),231)</f>
        <v>231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IFERROR(__xludf.DUMMYFUNCTION("IMPORTRANGE(""https://docs.google.com/spreadsheets/d/1QqKyyYR6Q21VydFLVH3TRQUabQu_ym0Zz7PgGX0-kHA/edit?usp=sharing"",""แผน!EO34"")"),7000)</f>
        <v>7000</v>
      </c>
      <c r="J359" s="892">
        <f ca="1">IFERROR(__xludf.DUMMYFUNCTION("IMPORTRANGE(""https://docs.google.com/spreadsheets/d/1XWAQStnk-4SwqDmLtmXYiTMKHgktTP8We1SCoS47DrQ/edit?usp=sharing"",""จัดที่ดิน!X34"")"),2019.96999999999)</f>
        <v>2019.96999999999</v>
      </c>
      <c r="K359" s="893">
        <f t="shared" ca="1" si="161"/>
        <v>28.856714285714144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IFERROR(__xludf.DUMMYFUNCTION("IMPORTRANGE(""https://docs.google.com/spreadsheets/d/1QqKyyYR6Q21VydFLVH3TRQUabQu_ym0Zz7PgGX0-kHA/edit?usp=sharing"",""แผน!EP34"")"),700)</f>
        <v>700</v>
      </c>
      <c r="J360" s="892">
        <f ca="1">IFERROR(__xludf.DUMMYFUNCTION("IMPORTRANGE(""https://docs.google.com/spreadsheets/d/1XWAQStnk-4SwqDmLtmXYiTMKHgktTP8We1SCoS47DrQ/edit?usp=sharing"",""จัดที่ดิน!Y34"")"),158)</f>
        <v>158</v>
      </c>
      <c r="K360" s="893">
        <f t="shared" ca="1" si="161"/>
        <v>22.571428571428573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IFERROR(__xludf.DUMMYFUNCTION("IMPORTRANGE(""https://docs.google.com/spreadsheets/d/1XWAQStnk-4SwqDmLtmXYiTMKHgktTP8We1SCoS47DrQ/edit?usp=sharing"",""จัดที่ดิน!Z34"")"),1631.02)</f>
        <v>1631.02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IFERROR(__xludf.DUMMYFUNCTION("IMPORTRANGE(""https://docs.google.com/spreadsheets/d/1QqKyyYR6Q21VydFLVH3TRQUabQu_ym0Zz7PgGX0-kHA/edit?usp=sharing"",""แผน!EP34"")"),700)</f>
        <v>700</v>
      </c>
      <c r="J362" s="892">
        <f ca="1">IFERROR(__xludf.DUMMYFUNCTION("IMPORTRANGE(""https://docs.google.com/spreadsheets/d/1XWAQStnk-4SwqDmLtmXYiTMKHgktTP8We1SCoS47DrQ/edit?usp=sharing"",""จัดที่ดิน!AA34"")"),49)</f>
        <v>49</v>
      </c>
      <c r="K362" s="893">
        <f t="shared" ca="1" si="161"/>
        <v>7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IFERROR(__xludf.DUMMYFUNCTION("IMPORTRANGE(""https://docs.google.com/spreadsheets/d/1XWAQStnk-4SwqDmLtmXYiTMKHgktTP8We1SCoS47DrQ/edit?usp=sharing"",""จัดที่ดิน!AB34"")"),571.49)</f>
        <v>571.49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1450</v>
      </c>
      <c r="J364" s="1231">
        <f t="shared" ca="1" si="162"/>
        <v>263</v>
      </c>
      <c r="K364" s="1232">
        <f t="shared" ca="1" si="161"/>
        <v>18.137931034482758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IFERROR(__xludf.DUMMYFUNCTION("IMPORTRANGE(""https://docs.google.com/spreadsheets/d/1QqKyyYR6Q21VydFLVH3TRQUabQu_ym0Zz7PgGX0-kHA/edit?usp=sharing"",""แผน!EJ34"")"),100)</f>
        <v>100</v>
      </c>
      <c r="J365" s="1239">
        <f ca="1">J372</f>
        <v>12</v>
      </c>
      <c r="K365" s="1240">
        <f t="shared" ca="1" si="161"/>
        <v>12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IFERROR(__xludf.DUMMYFUNCTION("IMPORTRANGE(""https://docs.google.com/spreadsheets/d/1XWAQStnk-4SwqDmLtmXYiTMKHgktTP8We1SCoS47DrQ/edit?usp=sharing"",""จัดที่ดิน!E34"")"),103)</f>
        <v>103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IFERROR(__xludf.DUMMYFUNCTION("IMPORTRANGE(""https://docs.google.com/spreadsheets/d/1QqKyyYR6Q21VydFLVH3TRQUabQu_ym0Zz7PgGX0-kHA/edit?usp=sharing"",""แผน!EI34"")"),1000)</f>
        <v>1000</v>
      </c>
      <c r="J369" s="892">
        <f ca="1">IFERROR(__xludf.DUMMYFUNCTION("IMPORTRANGE(""https://docs.google.com/spreadsheets/d/1XWAQStnk-4SwqDmLtmXYiTMKHgktTP8We1SCoS47DrQ/edit?usp=sharing"",""จัดที่ดิน!F34"")"),786.66)</f>
        <v>786.66</v>
      </c>
      <c r="K369" s="893">
        <f t="shared" ca="1" si="163"/>
        <v>78.665999999999997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IFERROR(__xludf.DUMMYFUNCTION("IMPORTRANGE(""https://docs.google.com/spreadsheets/d/1QqKyyYR6Q21VydFLVH3TRQUabQu_ym0Zz7PgGX0-kHA/edit?usp=sharing"",""แผน!EJ34"")"),100)</f>
        <v>100</v>
      </c>
      <c r="J370" s="892">
        <f ca="1">IFERROR(__xludf.DUMMYFUNCTION("IMPORTRANGE(""https://docs.google.com/spreadsheets/d/1XWAQStnk-4SwqDmLtmXYiTMKHgktTP8We1SCoS47DrQ/edit?usp=sharing"",""จัดที่ดิน!G34"")"),26)</f>
        <v>26</v>
      </c>
      <c r="K370" s="893">
        <f t="shared" ca="1" si="163"/>
        <v>26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IFERROR(__xludf.DUMMYFUNCTION("IMPORTRANGE(""https://docs.google.com/spreadsheets/d/1XWAQStnk-4SwqDmLtmXYiTMKHgktTP8We1SCoS47DrQ/edit?usp=sharing"",""จัดที่ดิน!H34"")"),360.62)</f>
        <v>360.62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IFERROR(__xludf.DUMMYFUNCTION("IMPORTRANGE(""https://docs.google.com/spreadsheets/d/1QqKyyYR6Q21VydFLVH3TRQUabQu_ym0Zz7PgGX0-kHA/edit?usp=sharing"",""แผน!EJ34"")"),100)</f>
        <v>100</v>
      </c>
      <c r="J372" s="892">
        <f ca="1">IFERROR(__xludf.DUMMYFUNCTION("IMPORTRANGE(""https://docs.google.com/spreadsheets/d/1XWAQStnk-4SwqDmLtmXYiTMKHgktTP8We1SCoS47DrQ/edit?usp=sharing"",""จัดที่ดิน!I34"")"),12)</f>
        <v>12</v>
      </c>
      <c r="K372" s="893">
        <f t="shared" ca="1" si="163"/>
        <v>12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IFERROR(__xludf.DUMMYFUNCTION("IMPORTRANGE(""https://docs.google.com/spreadsheets/d/1XWAQStnk-4SwqDmLtmXYiTMKHgktTP8We1SCoS47DrQ/edit?usp=sharing"",""จัดที่ดิน!J34"")"),191.17)</f>
        <v>191.17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IFERROR(__xludf.DUMMYFUNCTION("IMPORTRANGE(""https://docs.google.com/spreadsheets/d/1QqKyyYR6Q21VydFLVH3TRQUabQu_ym0Zz7PgGX0-kHA/edit?usp=sharing"",""แผน!EU34"")"),1350)</f>
        <v>1350</v>
      </c>
      <c r="J374" s="1239">
        <f ca="1">J381</f>
        <v>251</v>
      </c>
      <c r="K374" s="1240">
        <f t="shared" ca="1" si="163"/>
        <v>18.592592592592592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IFERROR(__xludf.DUMMYFUNCTION("IMPORTRANGE(""https://docs.google.com/spreadsheets/d/1XWAQStnk-4SwqDmLtmXYiTMKHgktTP8We1SCoS47DrQ/edit?usp=sharing"",""จัดที่ดิน!AH34"")"),128)</f>
        <v>128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IFERROR(__xludf.DUMMYFUNCTION("IMPORTRANGE(""https://docs.google.com/spreadsheets/d/1QqKyyYR6Q21VydFLVH3TRQUabQu_ym0Zz7PgGX0-kHA/edit?usp=sharing"",""แผน!ET34"")"),6000)</f>
        <v>6000</v>
      </c>
      <c r="J378" s="892">
        <f ca="1">IFERROR(__xludf.DUMMYFUNCTION("IMPORTRANGE(""https://docs.google.com/spreadsheets/d/1XWAQStnk-4SwqDmLtmXYiTMKHgktTP8We1SCoS47DrQ/edit?usp=sharing"",""จัดที่ดิน!AI34"")"),1233.31)</f>
        <v>1233.31</v>
      </c>
      <c r="K378" s="893">
        <f t="shared" ca="1" si="164"/>
        <v>20.555166666666668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IFERROR(__xludf.DUMMYFUNCTION("IMPORTRANGE(""https://docs.google.com/spreadsheets/d/1QqKyyYR6Q21VydFLVH3TRQUabQu_ym0Zz7PgGX0-kHA/edit?usp=sharing"",""แผน!EU34"")"),1350)</f>
        <v>1350</v>
      </c>
      <c r="J379" s="892">
        <f ca="1">IFERROR(__xludf.DUMMYFUNCTION("IMPORTRANGE(""https://docs.google.com/spreadsheets/d/1XWAQStnk-4SwqDmLtmXYiTMKHgktTP8We1SCoS47DrQ/edit?usp=sharing"",""จัดที่ดิน!AJ34"")"),469)</f>
        <v>469</v>
      </c>
      <c r="K379" s="893">
        <f t="shared" ca="1" si="164"/>
        <v>34.74074074074074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IFERROR(__xludf.DUMMYFUNCTION("IMPORTRANGE(""https://docs.google.com/spreadsheets/d/1XWAQStnk-4SwqDmLtmXYiTMKHgktTP8We1SCoS47DrQ/edit?usp=sharing"",""จัดที่ดิน!AK34"")"),6340.18)</f>
        <v>6340.18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IFERROR(__xludf.DUMMYFUNCTION("IMPORTRANGE(""https://docs.google.com/spreadsheets/d/1QqKyyYR6Q21VydFLVH3TRQUabQu_ym0Zz7PgGX0-kHA/edit?usp=sharing"",""แผน!EU34"")"),1350)</f>
        <v>1350</v>
      </c>
      <c r="J381" s="892">
        <f ca="1">IFERROR(__xludf.DUMMYFUNCTION("IMPORTRANGE(""https://docs.google.com/spreadsheets/d/1XWAQStnk-4SwqDmLtmXYiTMKHgktTP8We1SCoS47DrQ/edit?usp=sharing"",""จัดที่ดิน!AL34"")"),251)</f>
        <v>251</v>
      </c>
      <c r="K381" s="893">
        <f t="shared" ca="1" si="164"/>
        <v>18.592592592592592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IFERROR(__xludf.DUMMYFUNCTION("IMPORTRANGE(""https://docs.google.com/spreadsheets/d/1XWAQStnk-4SwqDmLtmXYiTMKHgktTP8We1SCoS47DrQ/edit?usp=sharing"",""จัดที่ดิน!AM34"")"),3489.38)</f>
        <v>3489.38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IFERROR(__xludf.DUMMYFUNCTION("IMPORTRANGE(""https://docs.google.com/spreadsheets/d/1QqKyyYR6Q21VydFLVH3TRQUabQu_ym0Zz7PgGX0-kHA/edit?usp=sharing"",""แผน!EW34"")"),100)</f>
        <v>100</v>
      </c>
      <c r="J385" s="1149">
        <f ca="1">IFERROR(__xludf.DUMMYFUNCTION("IMPORTRANGE(""https://docs.google.com/spreadsheets/d/1XWAQStnk-4SwqDmLtmXYiTMKHgktTP8We1SCoS47DrQ/edit?usp=sharing"",""จัดที่ดิน!AP34"")"),0)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IFERROR(__xludf.DUMMYFUNCTION("IMPORTRANGE(""https://docs.google.com/spreadsheets/d/1MeEWN-I1oV_STSDYn1IFDPWt_1FKiwhDph83XaGc0o0/edit?usp=sharing"",""งบพรบ!FG34"")"),0)</f>
        <v>0</v>
      </c>
      <c r="M394" s="899">
        <f ca="1">IFERROR(__xludf.DUMMYFUNCTION("IMPORTRANGE(""https://docs.google.com/spreadsheets/d/1MeEWN-I1oV_STSDYn1IFDPWt_1FKiwhDph83XaGc0o0/edit?usp=sharing"",""งบพรบ!FL34"")"),0)</f>
        <v>0</v>
      </c>
      <c r="N394" s="899">
        <f ca="1">IFERROR(__xludf.DUMMYFUNCTION("IMPORTRANGE(""https://docs.google.com/spreadsheets/d/1MeEWN-I1oV_STSDYn1IFDPWt_1FKiwhDph83XaGc0o0/edit?usp=sharing"",""งบพรบ!FN34"")"),0)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IFERROR(__xludf.DUMMYFUNCTION("IMPORTRANGE(""https://docs.google.com/spreadsheets/d/1MeEWN-I1oV_STSDYn1IFDPWt_1FKiwhDph83XaGc0o0/edit?usp=sharing"",""งบพรบ!FJ34"")"),0)</f>
        <v>0</v>
      </c>
      <c r="M397" s="899">
        <f ca="1">IFERROR(__xludf.DUMMYFUNCTION("IMPORTRANGE(""https://docs.google.com/spreadsheets/d/1MeEWN-I1oV_STSDYn1IFDPWt_1FKiwhDph83XaGc0o0/edit?usp=sharing"",""งบพรบ!FM34"")"),0)</f>
        <v>0</v>
      </c>
      <c r="N397" s="899">
        <f ca="1">IFERROR(__xludf.DUMMYFUNCTION("IMPORTRANGE(""https://docs.google.com/spreadsheets/d/1MeEWN-I1oV_STSDYn1IFDPWt_1FKiwhDph83XaGc0o0/edit?usp=sharing"",""งบพรบ!FO34"")"),0)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IFERROR(__xludf.DUMMYFUNCTION("IMPORTRANGE(""https://docs.google.com/spreadsheets/d/1MeEWN-I1oV_STSDYn1IFDPWt_1FKiwhDph83XaGc0o0/edit?usp=sharing"",""งบพรบ!FQ34"")"),0)</f>
        <v>0</v>
      </c>
      <c r="M407" s="899">
        <f ca="1">IFERROR(__xludf.DUMMYFUNCTION("IMPORTRANGE(""https://docs.google.com/spreadsheets/d/1MeEWN-I1oV_STSDYn1IFDPWt_1FKiwhDph83XaGc0o0/edit?usp=sharing"",""งบพรบ!FV34"")"),0)</f>
        <v>0</v>
      </c>
      <c r="N407" s="899">
        <f ca="1">IFERROR(__xludf.DUMMYFUNCTION("IMPORTRANGE(""https://docs.google.com/spreadsheets/d/1MeEWN-I1oV_STSDYn1IFDPWt_1FKiwhDph83XaGc0o0/edit?usp=sharing"",""งบพรบ!FX34"")"),0)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IFERROR(__xludf.DUMMYFUNCTION("IMPORTRANGE(""https://docs.google.com/spreadsheets/d/1MeEWN-I1oV_STSDYn1IFDPWt_1FKiwhDph83XaGc0o0/edit?usp=sharing"",""งบพรบ!FT34"")"),0)</f>
        <v>0</v>
      </c>
      <c r="M410" s="899">
        <f ca="1">IFERROR(__xludf.DUMMYFUNCTION("IMPORTRANGE(""https://docs.google.com/spreadsheets/d/1MeEWN-I1oV_STSDYn1IFDPWt_1FKiwhDph83XaGc0o0/edit?usp=sharing"",""งบพรบ!FW34"")"),0)</f>
        <v>0</v>
      </c>
      <c r="N410" s="899">
        <f ca="1">IFERROR(__xludf.DUMMYFUNCTION("IMPORTRANGE(""https://docs.google.com/spreadsheets/d/1MeEWN-I1oV_STSDYn1IFDPWt_1FKiwhDph83XaGc0o0/edit?usp=sharing"",""งบพรบ!FY34"")"),0)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2394164</v>
      </c>
      <c r="M414" s="1293">
        <f t="shared" ca="1" si="181"/>
        <v>2394164</v>
      </c>
      <c r="N414" s="1293">
        <f t="shared" si="181"/>
        <v>845618</v>
      </c>
      <c r="O414" s="1293">
        <f ca="1">IF(L414&gt;0,N414*100/L414,0)</f>
        <v>35.319969726384656</v>
      </c>
      <c r="P414" s="1293">
        <f ca="1">IF(M414&gt;0,N414*100/M414,0)</f>
        <v>35.319969726384656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0</v>
      </c>
      <c r="K417" s="1307">
        <f t="shared" ref="K417:K418" ca="1" si="183">IF(I417&gt;0,J417*100/I417,0)</f>
        <v>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0</v>
      </c>
      <c r="K418" s="1307">
        <f t="shared" ca="1" si="183"/>
        <v>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36872</v>
      </c>
      <c r="O419" s="1004">
        <f t="shared" ref="O419:O424" ca="1" si="185">IF(L419&gt;0,N419*100/L419,0)</f>
        <v>46.875158911772182</v>
      </c>
      <c r="P419" s="1004">
        <f t="shared" ref="P419:P424" ca="1" si="186">IF(M419&gt;0,N419*100/M419,0)</f>
        <v>46.875158911772182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36872</v>
      </c>
      <c r="O421" s="899">
        <f t="shared" ca="1" si="185"/>
        <v>46.875158911772182</v>
      </c>
      <c r="P421" s="899">
        <f t="shared" ca="1" si="186"/>
        <v>46.875158911772182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36872</v>
      </c>
      <c r="O422" s="893">
        <f t="shared" ca="1" si="185"/>
        <v>46.875158911772182</v>
      </c>
      <c r="P422" s="893">
        <f t="shared" ca="1" si="186"/>
        <v>46.875158911772182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IFERROR(__xludf.DUMMYFUNCTION("IMPORTRANGE(""https://docs.google.com/spreadsheets/d/1QqKyyYR6Q21VydFLVH3TRQUabQu_ym0Zz7PgGX0-kHA/edit?usp=sharing"",""แผน!EY34"")"),78660)</f>
        <v>78660</v>
      </c>
      <c r="M424" s="899">
        <f ca="1">L424</f>
        <v>78660</v>
      </c>
      <c r="N424" s="899">
        <f>N425+N426+N427+N428</f>
        <v>36872</v>
      </c>
      <c r="O424" s="899">
        <f t="shared" ca="1" si="185"/>
        <v>46.875158911772182</v>
      </c>
      <c r="P424" s="899">
        <f t="shared" ca="1" si="186"/>
        <v>46.875158911772182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f>25480+1720</f>
        <v>27200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f>450+9222</f>
        <v>9672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IFERROR(__xludf.DUMMYFUNCTION("IMPORTRANGE(""https://docs.google.com/spreadsheets/d/1QqKyyYR6Q21VydFLVH3TRQUabQu_ym0Zz7PgGX0-kHA/edit?usp=sharing"",""แผน!FB34"")"),0)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0</v>
      </c>
      <c r="K433" s="1032">
        <f t="shared" ref="K433:K435" ca="1" si="192">IF(I433&gt;0,J433*100/I433,0)</f>
        <v>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0</v>
      </c>
      <c r="K434" s="1032">
        <f t="shared" ca="1" si="192"/>
        <v>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IFERROR(__xludf.DUMMYFUNCTION("IMPORTRANGE(""https://docs.google.com/spreadsheets/d/1QqKyyYR6Q21VydFLVH3TRQUabQu_ym0Zz7PgGX0-kHA/edit?usp=sharing"",""แผน!FE34"")"),0)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893">
        <f t="shared" ca="1" si="194"/>
        <v>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IFERROR(__xludf.DUMMYFUNCTION("IMPORTRANGE(""https://docs.google.com/spreadsheets/d/1QqKyyYR6Q21VydFLVH3TRQUabQu_ym0Zz7PgGX0-kHA/edit?usp=sharing"",""แผน!FG34"")"),1)</f>
        <v>1</v>
      </c>
      <c r="J440" s="1024">
        <v>0</v>
      </c>
      <c r="K440" s="893">
        <f t="shared" ca="1" si="194"/>
        <v>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IFERROR(__xludf.DUMMYFUNCTION("IMPORTRANGE(""https://docs.google.com/spreadsheets/d/1QqKyyYR6Q21VydFLVH3TRQUabQu_ym0Zz7PgGX0-kHA/edit?usp=sharing"",""แผน!FH34"")"),0)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 hidden="1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0</v>
      </c>
      <c r="J442" s="1322">
        <f t="shared" si="195"/>
        <v>0</v>
      </c>
      <c r="K442" s="1323">
        <f t="shared" ca="1" si="194"/>
        <v>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 hidden="1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0</v>
      </c>
      <c r="J443" s="1306">
        <f t="shared" si="196"/>
        <v>0</v>
      </c>
      <c r="K443" s="1307">
        <f t="shared" ca="1" si="194"/>
        <v>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 hidden="1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0</v>
      </c>
      <c r="M444" s="1032">
        <f t="shared" si="197"/>
        <v>0</v>
      </c>
      <c r="N444" s="1032">
        <f t="shared" si="197"/>
        <v>0</v>
      </c>
      <c r="O444" s="1032">
        <f t="shared" ref="O444:O449" ca="1" si="198">IF(L444&gt;0,N444*100/L444,0)</f>
        <v>0</v>
      </c>
      <c r="P444" s="1032">
        <f t="shared" ref="P444:P449" si="199">IF(M444&gt;0,N444*100/M444,0)</f>
        <v>0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0</v>
      </c>
      <c r="M446" s="899">
        <f t="shared" si="200"/>
        <v>0</v>
      </c>
      <c r="N446" s="899">
        <f t="shared" si="200"/>
        <v>0</v>
      </c>
      <c r="O446" s="899">
        <f t="shared" ca="1" si="198"/>
        <v>0</v>
      </c>
      <c r="P446" s="899">
        <f t="shared" si="199"/>
        <v>0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 hidden="1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0</v>
      </c>
      <c r="M447" s="893">
        <f t="shared" si="201"/>
        <v>0</v>
      </c>
      <c r="N447" s="893">
        <f t="shared" si="201"/>
        <v>0</v>
      </c>
      <c r="O447" s="893">
        <f t="shared" ca="1" si="198"/>
        <v>0</v>
      </c>
      <c r="P447" s="893">
        <f t="shared" si="199"/>
        <v>0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IFERROR(__xludf.DUMMYFUNCTION("IMPORTRANGE(""https://docs.google.com/spreadsheets/d/1QqKyyYR6Q21VydFLVH3TRQUabQu_ym0Zz7PgGX0-kHA/edit?usp=sharing"",""แผน!FJ34"")"),0)</f>
        <v>0</v>
      </c>
      <c r="M449" s="899">
        <v>0</v>
      </c>
      <c r="N449" s="899">
        <f>N450+N451+N452+N453</f>
        <v>0</v>
      </c>
      <c r="O449" s="899">
        <f t="shared" ca="1" si="198"/>
        <v>0</v>
      </c>
      <c r="P449" s="899">
        <f t="shared" si="199"/>
        <v>0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 hidden="1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 hidden="1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 hidden="1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 hidden="1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 hidden="1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IFERROR(__xludf.DUMMYFUNCTION("IMPORTRANGE(""https://docs.google.com/spreadsheets/d/1QqKyyYR6Q21VydFLVH3TRQUabQu_ym0Zz7PgGX0-kHA/edit?usp=sharing"",""แผน!FM34"")"),0)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 hidden="1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 hidden="1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IFERROR(__xludf.DUMMYFUNCTION("IMPORTRANGE(""https://docs.google.com/spreadsheets/d/1QqKyyYR6Q21VydFLVH3TRQUabQu_ym0Zz7PgGX0-kHA/edit?usp=sharing"",""แผน!FN34"")"),0)</f>
        <v>0</v>
      </c>
      <c r="J460" s="1024">
        <v>0</v>
      </c>
      <c r="K460" s="893">
        <f ca="1">IF(I460&gt;0,J460*100/I460,0)</f>
        <v>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 hidden="1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 hidden="1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IFERROR(__xludf.DUMMYFUNCTION("IMPORTRANGE(""https://docs.google.com/spreadsheets/d/1QqKyyYR6Q21VydFLVH3TRQUabQu_ym0Zz7PgGX0-kHA/edit?usp=sharing"",""แผน!FO34"")"),0)</f>
        <v>0</v>
      </c>
      <c r="J462" s="1024">
        <v>0</v>
      </c>
      <c r="K462" s="893">
        <f ca="1">IF(I462&gt;0,J462*100/I462,0)</f>
        <v>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 hidden="1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IFERROR(__xludf.DUMMYFUNCTION("IMPORTRANGE(""https://docs.google.com/spreadsheets/d/1QqKyyYR6Q21VydFLVH3TRQUabQu_ym0Zz7PgGX0-kHA/edit?usp=sharing"",""แผน!FO34"")"),0)</f>
        <v>0</v>
      </c>
      <c r="J463" s="1024">
        <v>0</v>
      </c>
      <c r="K463" s="893"/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 hidden="1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IFERROR(__xludf.DUMMYFUNCTION("IMPORTRANGE(""https://docs.google.com/spreadsheets/d/1QqKyyYR6Q21VydFLVH3TRQUabQu_ym0Zz7PgGX0-kHA/edit?usp=sharing"",""แผน!FN34"")"),0)</f>
        <v>0</v>
      </c>
      <c r="J464" s="1024">
        <v>0</v>
      </c>
      <c r="K464" s="893"/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IFERROR(__xludf.DUMMYFUNCTION("IMPORTRANGE(""https://docs.google.com/spreadsheets/d/1QqKyyYR6Q21VydFLVH3TRQUabQu_ym0Zz7PgGX0-kHA/edit?usp=sharing"",""แผน!FX34"")"),51)</f>
        <v>51</v>
      </c>
      <c r="J465" s="1322">
        <f>J485+J489+J492</f>
        <v>50</v>
      </c>
      <c r="K465" s="1323">
        <f t="shared" ref="K465:K466" ca="1" si="205">IF(I465&gt;0,J465*100/I465,0)</f>
        <v>98.039215686274517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IFERROR(__xludf.DUMMYFUNCTION("IMPORTRANGE(""https://docs.google.com/spreadsheets/d/1QqKyyYR6Q21VydFLVH3TRQUabQu_ym0Zz7PgGX0-kHA/edit?usp=sharing"",""แผน!FW34"")"),500)</f>
        <v>500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410253</v>
      </c>
      <c r="M467" s="1032">
        <f t="shared" ca="1" si="206"/>
        <v>410253</v>
      </c>
      <c r="N467" s="1032">
        <f t="shared" si="206"/>
        <v>64515</v>
      </c>
      <c r="O467" s="1032">
        <f t="shared" ref="O467:O472" ca="1" si="207">IF(L467&gt;0,N467*100/L467,0)</f>
        <v>15.725661969565122</v>
      </c>
      <c r="P467" s="1032">
        <f t="shared" ref="P467:P472" ca="1" si="208">IF(M467&gt;0,N467*100/M467,0)</f>
        <v>15.725661969565122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410253</v>
      </c>
      <c r="M469" s="899">
        <f t="shared" ca="1" si="209"/>
        <v>410253</v>
      </c>
      <c r="N469" s="899">
        <f t="shared" si="209"/>
        <v>64515</v>
      </c>
      <c r="O469" s="899">
        <f t="shared" ca="1" si="207"/>
        <v>15.725661969565122</v>
      </c>
      <c r="P469" s="899">
        <f t="shared" ca="1" si="208"/>
        <v>15.725661969565122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410253</v>
      </c>
      <c r="M470" s="893">
        <f t="shared" ca="1" si="210"/>
        <v>410253</v>
      </c>
      <c r="N470" s="893">
        <f t="shared" si="210"/>
        <v>64515</v>
      </c>
      <c r="O470" s="893">
        <f t="shared" ca="1" si="207"/>
        <v>15.725661969565122</v>
      </c>
      <c r="P470" s="893">
        <f t="shared" ca="1" si="208"/>
        <v>15.725661969565122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IFERROR(__xludf.DUMMYFUNCTION("IMPORTRANGE(""https://docs.google.com/spreadsheets/d/1QqKyyYR6Q21VydFLVH3TRQUabQu_ym0Zz7PgGX0-kHA/edit?usp=sharing"",""แผน!FS34"")"),410253)</f>
        <v>410253</v>
      </c>
      <c r="M472" s="899">
        <f ca="1">L472</f>
        <v>410253</v>
      </c>
      <c r="N472" s="899">
        <f>N473+N474+N475+N476</f>
        <v>64515</v>
      </c>
      <c r="O472" s="899">
        <f t="shared" ca="1" si="207"/>
        <v>15.725661969565122</v>
      </c>
      <c r="P472" s="899">
        <f t="shared" ca="1" si="208"/>
        <v>15.725661969565122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17930+760+41480+4345</f>
        <v>64515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IFERROR(__xludf.DUMMYFUNCTION("IMPORTRANGE(""https://docs.google.com/spreadsheets/d/1QqKyyYR6Q21VydFLVH3TRQUabQu_ym0Zz7PgGX0-kHA/edit?usp=sharing"",""แผน!FV34"")"),0)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IFERROR(__xludf.DUMMYFUNCTION("IMPORTRANGE(""https://docs.google.com/spreadsheets/d/1QqKyyYR6Q21VydFLVH3TRQUabQu_ym0Zz7PgGX0-kHA/edit?usp=sharing"",""แผน!FY34"")"),450)</f>
        <v>450</v>
      </c>
      <c r="J483" s="1024">
        <v>450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IFERROR(__xludf.DUMMYFUNCTION("IMPORTRANGE(""https://docs.google.com/spreadsheets/d/1QqKyyYR6Q21VydFLVH3TRQUabQu_ym0Zz7PgGX0-kHA/edit?usp=sharing"",""แผน!FZ34"")"),45)</f>
        <v>45</v>
      </c>
      <c r="J485" s="1024">
        <v>45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IFERROR(__xludf.DUMMYFUNCTION("IMPORTRANGE(""https://docs.google.com/spreadsheets/d/1QqKyyYR6Q21VydFLVH3TRQUabQu_ym0Zz7PgGX0-kHA/edit?usp=sharing"",""แผน!GA34"")"),50)</f>
        <v>50</v>
      </c>
      <c r="J487" s="1024">
        <v>50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IFERROR(__xludf.DUMMYFUNCTION("IMPORTRANGE(""https://docs.google.com/spreadsheets/d/1QqKyyYR6Q21VydFLVH3TRQUabQu_ym0Zz7PgGX0-kHA/edit?usp=sharing"",""แผน!GB34"")"),5)</f>
        <v>5</v>
      </c>
      <c r="J489" s="1024">
        <v>5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IFERROR(__xludf.DUMMYFUNCTION("IMPORTRANGE(""https://docs.google.com/spreadsheets/d/1QqKyyYR6Q21VydFLVH3TRQUabQu_ym0Zz7PgGX0-kHA/edit?usp=sharing"",""แผน!GC34"")"),1)</f>
        <v>1</v>
      </c>
      <c r="J492" s="1024">
        <v>0</v>
      </c>
      <c r="K492" s="893">
        <f ca="1">IF(I492&gt;0,J492*100/I492,0)</f>
        <v>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IFERROR(__xludf.DUMMYFUNCTION("IMPORTRANGE(""https://docs.google.com/spreadsheets/d/1QqKyyYR6Q21VydFLVH3TRQUabQu_ym0Zz7PgGX0-kHA/edit?usp=sharing"",""แผน!FY34"")"),450)</f>
        <v>450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IFERROR(__xludf.DUMMYFUNCTION("IMPORTRANGE(""https://docs.google.com/spreadsheets/d/1QqKyyYR6Q21VydFLVH3TRQUabQu_ym0Zz7PgGX0-kHA/edit?usp=sharing"",""แผน!GA34"")"),50)</f>
        <v>50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IFERROR(__xludf.DUMMYFUNCTION("IMPORTRANGE(""https://docs.google.com/spreadsheets/d/1QqKyyYR6Q21VydFLVH3TRQUabQu_ym0Zz7PgGX0-kHA/edit?usp=sharing"",""แผน!GQ34"")"),0)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IFERROR(__xludf.DUMMYFUNCTION("IMPORTRANGE(""https://docs.google.com/spreadsheets/d/1QqKyyYR6Q21VydFLVH3TRQUabQu_ym0Zz7PgGX0-kHA/edit?usp=sharing"",""แผน!GT34"")"),0)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IFERROR(__xludf.DUMMYFUNCTION("IMPORTRANGE(""https://docs.google.com/spreadsheets/d/1QqKyyYR6Q21VydFLVH3TRQUabQu_ym0Zz7PgGX0-kHA/edit?usp=sharing"",""แผน!GU34"")"),0)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IFERROR(__xludf.DUMMYFUNCTION("IMPORTRANGE(""https://docs.google.com/spreadsheets/d/1QqKyyYR6Q21VydFLVH3TRQUabQu_ym0Zz7PgGX0-kHA/edit?usp=sharing"",""แผน!GV34"")"),0)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IFERROR(__xludf.DUMMYFUNCTION("IMPORTRANGE(""https://docs.google.com/spreadsheets/d/1QqKyyYR6Q21VydFLVH3TRQUabQu_ym0Zz7PgGX0-kHA/edit?usp=sharing"",""แผน!GW34"")"),0)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IFERROR(__xludf.DUMMYFUNCTION("IMPORTRANGE(""https://docs.google.com/spreadsheets/d/1QqKyyYR6Q21VydFLVH3TRQUabQu_ym0Zz7PgGX0-kHA/edit?usp=sharing"",""แผน!GX34"")"),0)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IFERROR(__xludf.DUMMYFUNCTION("IMPORTRANGE(""https://docs.google.com/spreadsheets/d/1QqKyyYR6Q21VydFLVH3TRQUabQu_ym0Zz7PgGX0-kHA/edit?usp=sharing"",""แผน!GY34"")"),0)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IFERROR(__xludf.DUMMYFUNCTION("IMPORTRANGE(""https://docs.google.com/spreadsheets/d/1QqKyyYR6Q21VydFLVH3TRQUabQu_ym0Zz7PgGX0-kHA/edit?usp=sharing"",""แผน!GZ34"")"),0)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99295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689881</v>
      </c>
      <c r="M544" s="1004">
        <f t="shared" ca="1" si="236"/>
        <v>689881</v>
      </c>
      <c r="N544" s="1004">
        <f t="shared" si="236"/>
        <v>279776</v>
      </c>
      <c r="O544" s="1004">
        <f t="shared" ref="O544:O549" ca="1" si="237">IF(L544&gt;0,N544*100/L544,0)</f>
        <v>40.554240513943711</v>
      </c>
      <c r="P544" s="1004">
        <f t="shared" ref="P544:P549" ca="1" si="238">IF(M544&gt;0,N544*100/M544,0)</f>
        <v>40.554240513943711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689881</v>
      </c>
      <c r="M546" s="899">
        <f t="shared" ca="1" si="240"/>
        <v>689881</v>
      </c>
      <c r="N546" s="899">
        <f t="shared" si="240"/>
        <v>279776</v>
      </c>
      <c r="O546" s="899">
        <f t="shared" ca="1" si="237"/>
        <v>40.554240513943711</v>
      </c>
      <c r="P546" s="899">
        <f t="shared" ca="1" si="238"/>
        <v>40.554240513943711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689881</v>
      </c>
      <c r="M547" s="893">
        <f t="shared" ca="1" si="241"/>
        <v>689881</v>
      </c>
      <c r="N547" s="893">
        <f t="shared" si="241"/>
        <v>279776</v>
      </c>
      <c r="O547" s="893">
        <f t="shared" ca="1" si="237"/>
        <v>40.554240513943711</v>
      </c>
      <c r="P547" s="893">
        <f t="shared" ca="1" si="238"/>
        <v>40.554240513943711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IFERROR(__xludf.DUMMYFUNCTION("IMPORTRANGE(""https://docs.google.com/spreadsheets/d/1QqKyyYR6Q21VydFLVH3TRQUabQu_ym0Zz7PgGX0-kHA/edit?usp=sharing"",""แผน!HB34"")"),689881)</f>
        <v>689881</v>
      </c>
      <c r="M549" s="899">
        <f ca="1">L549</f>
        <v>689881</v>
      </c>
      <c r="N549" s="899">
        <f>N550+N551+N552+N553+N554</f>
        <v>279776</v>
      </c>
      <c r="O549" s="899">
        <f t="shared" ca="1" si="237"/>
        <v>40.554240513943711</v>
      </c>
      <c r="P549" s="899">
        <f t="shared" ca="1" si="238"/>
        <v>40.554240513943711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32700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f>37266+21742</f>
        <v>59008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120903+1920+44365+4880+16000</f>
        <v>188068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IFERROR(__xludf.DUMMYFUNCTION("IMPORTRANGE(""https://docs.google.com/spreadsheets/d/1QqKyyYR6Q21VydFLVH3TRQUabQu_ym0Zz7PgGX0-kHA/edit?usp=sharing"",""แผน!HF34"")"),0)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99295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IFERROR(__xludf.DUMMYFUNCTION("IMPORTRANGE(""https://docs.google.com/spreadsheets/d/1QqKyyYR6Q21VydFLVH3TRQUabQu_ym0Zz7PgGX0-kHA/edit?usp=sharing"",""แผน!HH34"")"),99295)</f>
        <v>99295</v>
      </c>
      <c r="J560" s="1030">
        <f t="shared" ref="J560:J561" si="247">J562+J564+J566</f>
        <v>99295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IFERROR(__xludf.DUMMYFUNCTION("IMPORTRANGE(""https://docs.google.com/spreadsheets/d/1QqKyyYR6Q21VydFLVH3TRQUabQu_ym0Zz7PgGX0-kHA/edit?usp=sharing"",""แผน!HG34"")"),8010)</f>
        <v>8010</v>
      </c>
      <c r="J561" s="1030">
        <f t="shared" si="247"/>
        <v>8010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88224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7244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8071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514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3000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252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IFERROR(__xludf.DUMMYFUNCTION("IMPORTRANGE(""https://docs.google.com/spreadsheets/d/1QqKyyYR6Q21VydFLVH3TRQUabQu_ym0Zz7PgGX0-kHA/edit?usp=sharing"",""แผน!HH34"")"),99295)</f>
        <v>99295</v>
      </c>
      <c r="J568" s="1031">
        <f t="shared" ref="J568:J569" si="248">J570+J572+J574</f>
        <v>29682</v>
      </c>
      <c r="K568" s="1174">
        <f t="shared" ref="K568:K569" ca="1" si="249">IF(I568&gt;0,J568*100/I568,0)</f>
        <v>29.892743844100913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IFERROR(__xludf.DUMMYFUNCTION("IMPORTRANGE(""https://docs.google.com/spreadsheets/d/1QqKyyYR6Q21VydFLVH3TRQUabQu_ym0Zz7PgGX0-kHA/edit?usp=sharing"",""แผน!HG34"")"),8010)</f>
        <v>8010</v>
      </c>
      <c r="J569" s="1031">
        <f t="shared" si="248"/>
        <v>2506</v>
      </c>
      <c r="K569" s="1174">
        <f t="shared" ca="1" si="249"/>
        <v>31.28589263420724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27758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2341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1334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104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590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61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IFERROR(__xludf.DUMMYFUNCTION("IMPORTRANGE(""https://docs.google.com/spreadsheets/d/1QqKyyYR6Q21VydFLVH3TRQUabQu_ym0Zz7PgGX0-kHA/edit?usp=sharing"",""แผน!HH34"")"),99295)</f>
        <v>99295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IFERROR(__xludf.DUMMYFUNCTION("IMPORTRANGE(""https://docs.google.com/spreadsheets/d/1QqKyyYR6Q21VydFLVH3TRQUabQu_ym0Zz7PgGX0-kHA/edit?usp=sharing"",""แผน!HG34"")"),8010)</f>
        <v>8010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8081.89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IFERROR(__xludf.DUMMYFUNCTION("IMPORTRANGE(""https://docs.google.com/spreadsheets/d/1QqKyyYR6Q21VydFLVH3TRQUabQu_ym0Zz7PgGX0-kHA/edit?usp=sharing"",""แผน!HJ34"")"),8081.89)</f>
        <v>8081.89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IFERROR(__xludf.DUMMYFUNCTION("IMPORTRANGE(""https://docs.google.com/spreadsheets/d/1QqKyyYR6Q21VydFLVH3TRQUabQu_ym0Zz7PgGX0-kHA/edit?usp=sharing"",""แผน!HI34"")"),699)</f>
        <v>699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IFERROR(__xludf.DUMMYFUNCTION("IMPORTRANGE(""https://docs.google.com/spreadsheets/d/1QqKyyYR6Q21VydFLVH3TRQUabQu_ym0Zz7PgGX0-kHA/edit?usp=sharing"",""แผน!HL34"")"),121)</f>
        <v>121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IFERROR(__xludf.DUMMYFUNCTION("IMPORTRANGE(""https://docs.google.com/spreadsheets/d/1QqKyyYR6Q21VydFLVH3TRQUabQu_ym0Zz7PgGX0-kHA/edit?usp=sharing"",""แผน!HK34"")"),6)</f>
        <v>6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1200</v>
      </c>
      <c r="J628" s="1438">
        <f t="shared" ca="1" si="262"/>
        <v>0</v>
      </c>
      <c r="K628" s="1439">
        <f ca="1">IF(I628&gt;0,J628*100/I628,0)</f>
        <v>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1142370</v>
      </c>
      <c r="M629" s="1032">
        <f t="shared" ca="1" si="263"/>
        <v>1142370</v>
      </c>
      <c r="N629" s="1032">
        <f t="shared" si="263"/>
        <v>460575</v>
      </c>
      <c r="O629" s="1032">
        <f t="shared" ref="O629:O634" ca="1" si="264">IF(L629&gt;0,N629*100/L629,0)</f>
        <v>40.317497833451512</v>
      </c>
      <c r="P629" s="1032">
        <f t="shared" ref="P629:P634" ca="1" si="265">IF(M629&gt;0,N629*100/M629,0)</f>
        <v>40.317497833451512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1142370</v>
      </c>
      <c r="M631" s="899">
        <f t="shared" ca="1" si="266"/>
        <v>1142370</v>
      </c>
      <c r="N631" s="899">
        <f t="shared" si="266"/>
        <v>460575</v>
      </c>
      <c r="O631" s="899">
        <f t="shared" ca="1" si="264"/>
        <v>40.317497833451512</v>
      </c>
      <c r="P631" s="899">
        <f t="shared" ca="1" si="265"/>
        <v>40.317497833451512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1142370</v>
      </c>
      <c r="M632" s="893">
        <f t="shared" ca="1" si="267"/>
        <v>1142370</v>
      </c>
      <c r="N632" s="893">
        <f t="shared" si="267"/>
        <v>460575</v>
      </c>
      <c r="O632" s="893">
        <f t="shared" ca="1" si="264"/>
        <v>40.317497833451512</v>
      </c>
      <c r="P632" s="893">
        <f t="shared" ca="1" si="265"/>
        <v>40.317497833451512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IFERROR(__xludf.DUMMYFUNCTION("IMPORTRANGE(""https://docs.google.com/spreadsheets/d/1QqKyyYR6Q21VydFLVH3TRQUabQu_ym0Zz7PgGX0-kHA/edit?usp=sharing"",""แผน!HN34"")"),1142370)</f>
        <v>1142370</v>
      </c>
      <c r="M634" s="899">
        <f ca="1">L634</f>
        <v>1142370</v>
      </c>
      <c r="N634" s="899">
        <f>N635+N636+N637+N638</f>
        <v>460575</v>
      </c>
      <c r="O634" s="899">
        <f t="shared" ca="1" si="264"/>
        <v>40.317497833451512</v>
      </c>
      <c r="P634" s="899">
        <f t="shared" ca="1" si="265"/>
        <v>40.317497833451512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27840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f>26000+25580+26000+13000</f>
        <v>90580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342155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IFERROR(__xludf.DUMMYFUNCTION("IMPORTRANGE(""https://docs.google.com/spreadsheets/d/1QqKyyYR6Q21VydFLVH3TRQUabQu_ym0Zz7PgGX0-kHA/edit?usp=sharing"",""แผน!HQ34"")"),0)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IFERROR(__xludf.DUMMYFUNCTION("IMPORTRANGE(""https://docs.google.com/spreadsheets/d/1QqKyyYR6Q21VydFLVH3TRQUabQu_ym0Zz7PgGX0-kHA/edit?usp=sharing"",""แผน!HR34"")"),0)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IFERROR(__xludf.DUMMYFUNCTION("IMPORTRANGE(""https://docs.google.com/spreadsheets/d/1QqKyyYR6Q21VydFLVH3TRQUabQu_ym0Zz7PgGX0-kHA/edit?usp=sharing"",""แผน!HR34"")"),0)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IFERROR(__xludf.DUMMYFUNCTION("IMPORTRANGE(""https://docs.google.com/spreadsheets/d/1XWAQStnk-4SwqDmLtmXYiTMKHgktTP8We1SCoS47DrQ/edit?usp=sharing"",""จัดที่ดิน!AS34"")"),1206)</f>
        <v>1206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IFERROR(__xludf.DUMMYFUNCTION("IMPORTRANGE(""https://docs.google.com/spreadsheets/d/1XWAQStnk-4SwqDmLtmXYiTMKHgktTP8We1SCoS47DrQ/edit?usp=sharing"",""จัดที่ดิน!AT34"")"),674.38)</f>
        <v>674.38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IFERROR(__xludf.DUMMYFUNCTION("IMPORTRANGE(""https://docs.google.com/spreadsheets/d/1QqKyyYR6Q21VydFLVH3TRQUabQu_ym0Zz7PgGX0-kHA/edit?usp=sharing"",""แผน!HS34"")"),1200)</f>
        <v>1200</v>
      </c>
      <c r="J647" s="892">
        <f ca="1">IFERROR(__xludf.DUMMYFUNCTION("IMPORTRANGE(""https://docs.google.com/spreadsheets/d/1XWAQStnk-4SwqDmLtmXYiTMKHgktTP8We1SCoS47DrQ/edit?usp=sharing"",""จัดที่ดิน!AU34"")"),628)</f>
        <v>628</v>
      </c>
      <c r="K647" s="1010">
        <f t="shared" ca="1" si="271"/>
        <v>52.333333333333336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IFERROR(__xludf.DUMMYFUNCTION("IMPORTRANGE(""https://docs.google.com/spreadsheets/d/1XWAQStnk-4SwqDmLtmXYiTMKHgktTP8We1SCoS47DrQ/edit?usp=sharing"",""จัดที่ดิน!AV34"")"),366.77)</f>
        <v>366.77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IFERROR(__xludf.DUMMYFUNCTION("IMPORTRANGE(""https://docs.google.com/spreadsheets/d/1QqKyyYR6Q21VydFLVH3TRQUabQu_ym0Zz7PgGX0-kHA/edit?usp=sharing"",""แผน!HS34"")"),1200)</f>
        <v>1200</v>
      </c>
      <c r="J649" s="892">
        <f ca="1">IFERROR(__xludf.DUMMYFUNCTION("IMPORTRANGE(""https://docs.google.com/spreadsheets/d/1XWAQStnk-4SwqDmLtmXYiTMKHgktTP8We1SCoS47DrQ/edit?usp=sharing"",""จัดที่ดิน!AW34"")"),247)</f>
        <v>247</v>
      </c>
      <c r="K649" s="1010">
        <f t="shared" ca="1" si="271"/>
        <v>20.583333333333332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IFERROR(__xludf.DUMMYFUNCTION("IMPORTRANGE(""https://docs.google.com/spreadsheets/d/1XWAQStnk-4SwqDmLtmXYiTMKHgktTP8We1SCoS47DrQ/edit?usp=sharing"",""จัดที่ดิน!AX34"")"),138.78)</f>
        <v>138.78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IFERROR(__xludf.DUMMYFUNCTION("IMPORTRANGE(""https://docs.google.com/spreadsheets/d/1QqKyyYR6Q21VydFLVH3TRQUabQu_ym0Zz7PgGX0-kHA/edit?usp=sharing"",""แผน!HS34"")"),1200)</f>
        <v>1200</v>
      </c>
      <c r="J651" s="892">
        <f ca="1">IFERROR(__xludf.DUMMYFUNCTION("IMPORTRANGE(""https://docs.google.com/spreadsheets/d/1XWAQStnk-4SwqDmLtmXYiTMKHgktTP8We1SCoS47DrQ/edit?usp=sharing"",""จัดที่ดิน!AY34"")"),0)</f>
        <v>0</v>
      </c>
      <c r="K651" s="1010">
        <f t="shared" ca="1" si="271"/>
        <v>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IFERROR(__xludf.DUMMYFUNCTION("IMPORTRANGE(""https://docs.google.com/spreadsheets/d/1XWAQStnk-4SwqDmLtmXYiTMKHgktTP8We1SCoS47DrQ/edit?usp=sharing"",""จัดที่ดิน!AZ34"")"),0)</f>
        <v>0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3880</v>
      </c>
      <c r="O655" s="1032">
        <f t="shared" ref="O655:O660" ca="1" si="274">IF(L655&gt;0,N655*100/L655,0)</f>
        <v>24.871794871794872</v>
      </c>
      <c r="P655" s="1032">
        <f t="shared" ref="P655:P660" ca="1" si="275">IF(M655&gt;0,N655*100/M655,0)</f>
        <v>24.871794871794872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3880</v>
      </c>
      <c r="O657" s="899">
        <f t="shared" ca="1" si="274"/>
        <v>24.871794871794872</v>
      </c>
      <c r="P657" s="899">
        <f t="shared" ca="1" si="275"/>
        <v>24.871794871794872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3880</v>
      </c>
      <c r="O658" s="893">
        <f t="shared" ca="1" si="274"/>
        <v>24.871794871794872</v>
      </c>
      <c r="P658" s="893">
        <f t="shared" ca="1" si="275"/>
        <v>24.871794871794872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IFERROR(__xludf.DUMMYFUNCTION("IMPORTRANGE(""https://docs.google.com/spreadsheets/d/1QqKyyYR6Q21VydFLVH3TRQUabQu_ym0Zz7PgGX0-kHA/edit?usp=sharing"",""แผน!HV34"")"),15600)</f>
        <v>15600</v>
      </c>
      <c r="M660" s="899">
        <f ca="1">L660</f>
        <v>15600</v>
      </c>
      <c r="N660" s="899">
        <f>N661+N662+N663+N664</f>
        <v>3880</v>
      </c>
      <c r="O660" s="899">
        <f t="shared" ca="1" si="274"/>
        <v>24.871794871794872</v>
      </c>
      <c r="P660" s="899">
        <f t="shared" ca="1" si="275"/>
        <v>24.871794871794872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f>2520+1360</f>
        <v>3880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IFERROR(__xludf.DUMMYFUNCTION("IMPORTRANGE(""https://docs.google.com/spreadsheets/d/1QqKyyYR6Q21VydFLVH3TRQUabQu_ym0Zz7PgGX0-kHA/edit?usp=sharing"",""แผน!IA34"")"),100)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IFERROR(__xludf.DUMMYFUNCTION("IMPORTRANGE(""https://docs.google.com/spreadsheets/d/1QqKyyYR6Q21VydFLVH3TRQUabQu_ym0Zz7PgGX0-kHA/edit?usp=sharing"",""แผน!HZ34"")"),6)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IFERROR(__xludf.DUMMYFUNCTION("IMPORTRANGE(""https://docs.google.com/spreadsheets/d/1QqKyyYR6Q21VydFLVH3TRQUabQu_ym0Zz7PgGX0-kHA/edit?usp=sharing"",""แผน!HZ34"")"),6)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512</v>
      </c>
      <c r="K672" s="893">
        <f t="shared" ref="K672:K675" ca="1" si="281">IF(I$669&gt;0,J672*100/I$669,0)</f>
        <v>512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IFERROR(__xludf.DUMMYFUNCTION("IMPORTRANGE(""https://docs.google.com/spreadsheets/d/1QqKyyYR6Q21VydFLVH3TRQUabQu_ym0Zz7PgGX0-kHA/edit?usp=sharing"",""แผน!IB34"")"),0)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57400</v>
      </c>
      <c r="M685" s="1032">
        <f t="shared" ca="1" si="282"/>
        <v>57400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57400</v>
      </c>
      <c r="M687" s="899">
        <f t="shared" ca="1" si="285"/>
        <v>57400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57400</v>
      </c>
      <c r="M688" s="893">
        <f t="shared" ca="1" si="286"/>
        <v>57400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IFERROR(__xludf.DUMMYFUNCTION("IMPORTRANGE(""https://docs.google.com/spreadsheets/d/1QqKyyYR6Q21VydFLVH3TRQUabQu_ym0Zz7PgGX0-kHA/edit?usp=sharing"",""แผน!HW34"")"),57400)</f>
        <v>57400</v>
      </c>
      <c r="M690" s="899">
        <f ca="1">L690</f>
        <v>57400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IFERROR(__xludf.DUMMYFUNCTION("IMPORTRANGE(""https://docs.google.com/spreadsheets/d/1QqKyyYR6Q21VydFLVH3TRQUabQu_ym0Zz7PgGX0-kHA/edit?usp=sharing"",""แผน!IC34"")"),0)</f>
        <v>0</v>
      </c>
      <c r="J699" s="892">
        <f ca="1">IFERROR(__xludf.DUMMYFUNCTION("IMPORTRANGE(""https://docs.google.com/spreadsheets/d/1XWAQStnk-4SwqDmLtmXYiTMKHgktTP8We1SCoS47DrQ/edit?usp=sharing"",""จัดที่ดิน!BB34"")"),0)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IFERROR(__xludf.DUMMYFUNCTION("IMPORTRANGE(""https://docs.google.com/spreadsheets/d/1QqKyyYR6Q21VydFLVH3TRQUabQu_ym0Zz7PgGX0-kHA/edit?usp=sharing"",""แผน!ID34"")"),23)</f>
        <v>23</v>
      </c>
      <c r="J700" s="892">
        <f ca="1">IFERROR(__xludf.DUMMYFUNCTION("IMPORTRANGE(""https://docs.google.com/spreadsheets/d/1XWAQStnk-4SwqDmLtmXYiTMKHgktTP8We1SCoS47DrQ/edit?usp=sharing"",""จัดที่ดิน!BD34"")"),7)</f>
        <v>7</v>
      </c>
      <c r="K700" s="893">
        <f t="shared" ca="1" si="290"/>
        <v>30.434782608695652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IFERROR(__xludf.DUMMYFUNCTION("IMPORTRANGE(""https://docs.google.com/spreadsheets/d/1QqKyyYR6Q21VydFLVH3TRQUabQu_ym0Zz7PgGX0-kHA/edit?usp=sharing"",""แผน!IE34"")"),1368)</f>
        <v>1368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IFERROR(__xludf.DUMMYFUNCTION("IMPORTRANGE(""https://docs.google.com/spreadsheets/d/1QqKyyYR6Q21VydFLVH3TRQUabQu_ym0Zz7PgGX0-kHA/edit?usp=sharing"",""แผน!IF34"")"),36)</f>
        <v>36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IFERROR(__xludf.DUMMYFUNCTION("IMPORTRANGE(""https://docs.google.com/spreadsheets/d/1QqKyyYR6Q21VydFLVH3TRQUabQu_ym0Zz7PgGX0-kHA/edit?usp=sharing"",""แผน!IG34"")"),1332)</f>
        <v>1332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IFERROR(__xludf.DUMMYFUNCTION("IMPORTRANGE(""https://docs.google.com/spreadsheets/d/1QqKyyYR6Q21VydFLVH3TRQUabQu_ym0Zz7PgGX0-kHA/edit?usp=sharing"",""แผน!IH34"")"),84)</f>
        <v>84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IFERROR(__xludf.DUMMYFUNCTION("IMPORTRANGE(""https://docs.google.com/spreadsheets/d/1XWAQStnk-4SwqDmLtmXYiTMKHgktTP8We1SCoS47DrQ/edit?usp=sharing"",""จัดที่ดิน!BF34"")"),0)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IFERROR(__xludf.DUMMYFUNCTION("IMPORTRANGE(""https://docs.google.com/spreadsheets/d/1XWAQStnk-4SwqDmLtmXYiTMKHgktTP8We1SCoS47DrQ/edit?usp=sharing"",""จัดที่ดิน!BG34"")"),0)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IFERROR(__xludf.DUMMYFUNCTION("IMPORTRANGE(""https://docs.google.com/spreadsheets/d/1QqKyyYR6Q21VydFLVH3TRQUabQu_ym0Zz7PgGX0-kHA/edit?usp=sharing"",""แผน!II34"")"),0)</f>
        <v>0</v>
      </c>
      <c r="J720" s="892">
        <f ca="1">IFERROR(__xludf.DUMMYFUNCTION("IMPORTRANGE(""https://docs.google.com/spreadsheets/d/1XWAQStnk-4SwqDmLtmXYiTMKHgktTP8We1SCoS47DrQ/edit?usp=sharing"",""จัดที่ดิน!BH34"")"),0)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IFERROR(__xludf.DUMMYFUNCTION("IMPORTRANGE(""https://docs.google.com/spreadsheets/d/1QqKyyYR6Q21VydFLVH3TRQUabQu_ym0Zz7PgGX0-kHA/edit?usp=sharing"",""แผน!IJ34"")"),45)</f>
        <v>45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IFERROR(__xludf.DUMMYFUNCTION("IMPORTRANGE(""https://docs.google.com/spreadsheets/d/1QqKyyYR6Q21VydFLVH3TRQUabQu_ym0Zz7PgGX0-kHA/edit?usp=sharing"",""แผน!IK34"")"),540)</f>
        <v>540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IFERROR(__xludf.DUMMYFUNCTION("IMPORTRANGE(""https://docs.google.com/spreadsheets/d/1QqKyyYR6Q21VydFLVH3TRQUabQu_ym0Zz7PgGX0-kHA/edit?usp=sharing"",""แผน!IL34"")"),45)</f>
        <v>45</v>
      </c>
      <c r="J723" s="892">
        <f ca="1">IFERROR(__xludf.DUMMYFUNCTION("IMPORTRANGE(""https://docs.google.com/spreadsheets/d/1XWAQStnk-4SwqDmLtmXYiTMKHgktTP8We1SCoS47DrQ/edit?usp=sharing"",""จัดที่ดิน!BM34"")"),0)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IFERROR(__xludf.DUMMYFUNCTION("IMPORTRANGE(""https://docs.google.com/spreadsheets/d/1XWAQStnk-4SwqDmLtmXYiTMKHgktTP8We1SCoS47DrQ/edit?usp=sharing"",""จัดที่ดิน!BN34"")"),0)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IFERROR(__xludf.DUMMYFUNCTION("IMPORTRANGE(""https://docs.google.com/spreadsheets/d/1QqKyyYR6Q21VydFLVH3TRQUabQu_ym0Zz7PgGX0-kHA/edit?usp=sharing"",""แผน!IM34"")"),540)</f>
        <v>540</v>
      </c>
      <c r="J725" s="892">
        <f ca="1">IFERROR(__xludf.DUMMYFUNCTION("IMPORTRANGE(""https://docs.google.com/spreadsheets/d/1XWAQStnk-4SwqDmLtmXYiTMKHgktTP8We1SCoS47DrQ/edit?usp=sharing"",""จัดที่ดิน!BO34"")"),0)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IFERROR(__xludf.DUMMYFUNCTION("IMPORTRANGE(""https://docs.google.com/spreadsheets/d/1QqKyyYR6Q21VydFLVH3TRQUabQu_ym0Zz7PgGX0-kHA/edit?usp=sharing"",""แผน!IN34"")"),0)</f>
        <v>0</v>
      </c>
      <c r="J726" s="892">
        <f ca="1">IFERROR(__xludf.DUMMYFUNCTION("IMPORTRANGE(""https://docs.google.com/spreadsheets/d/1XWAQStnk-4SwqDmLtmXYiTMKHgktTP8We1SCoS47DrQ/edit?usp=sharing"",""จัดที่ดิน!BR34"")"),0)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IFERROR(__xludf.DUMMYFUNCTION("IMPORTRANGE(""https://docs.google.com/spreadsheets/d/1XWAQStnk-4SwqDmLtmXYiTMKHgktTP8We1SCoS47DrQ/edit?usp=sharing"",""จัดที่ดิน!BS34"")"),0)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IFERROR(__xludf.DUMMYFUNCTION("IMPORTRANGE(""https://docs.google.com/spreadsheets/d/1QqKyyYR6Q21VydFLVH3TRQUabQu_ym0Zz7PgGX0-kHA/edit?usp=sharing"",""แผน!IO34"")"),0)</f>
        <v>0</v>
      </c>
      <c r="J728" s="892">
        <f ca="1">IFERROR(__xludf.DUMMYFUNCTION("IMPORTRANGE(""https://docs.google.com/spreadsheets/d/1XWAQStnk-4SwqDmLtmXYiTMKHgktTP8We1SCoS47DrQ/edit?usp=sharing"",""จัดที่ดิน!BT34"")"),0)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IFERROR(__xludf.DUMMYFUNCTION("IMPORTRANGE(""https://docs.google.com/spreadsheets/d/1QqKyyYR6Q21VydFLVH3TRQUabQu_ym0Zz7PgGX0-kHA/edit?usp=sharing"",""แผน!IP34"")"),192)</f>
        <v>192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IFERROR(__xludf.DUMMYFUNCTION("IMPORTRANGE(""https://docs.google.com/spreadsheets/d/1QqKyyYR6Q21VydFLVH3TRQUabQu_ym0Zz7PgGX0-kHA/edit?usp=sharing"",""แผน!JJ34"")"),0)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IFERROR(__xludf.DUMMYFUNCTION("IMPORTRANGE(""https://docs.google.com/spreadsheets/d/1QqKyyYR6Q21VydFLVH3TRQUabQu_ym0Zz7PgGX0-kHA/edit?usp=sharing"",""แผน!JN34"")"),0)</f>
        <v>0</v>
      </c>
      <c r="J800" s="1009">
        <f ca="1">IFERROR(__xludf.DUMMYFUNCTION("IMPORTRANGE(""https://docs.google.com/spreadsheets/d/1MaWodYyGHDf7siQLGxnXhG4mBNTNIuy296niS2xXulU/edit?usp=sharing"",""RTK!H34"")"),0)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IFERROR(__xludf.DUMMYFUNCTION("IMPORTRANGE(""https://docs.google.com/spreadsheets/d/1MaWodYyGHDf7siQLGxnXhG4mBNTNIuy296niS2xXulU/edit?usp=sharing"",""RTK!I34"")"),0)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892">
        <f ca="1">IFERROR(__xludf.DUMMYFUNCTION("IMPORTRANGE(""https://docs.google.com/spreadsheets/d/19vJNZY_5yjcGF2XGBMNZRCAIB0Kwfpjp8YEOfu-bneM/edit?usp=sharing"",""งานกองทุน!F34"")"),1852900)</f>
        <v>1852900</v>
      </c>
      <c r="K821" s="893">
        <f t="shared" ref="K821:K828" ca="1" si="335">IF(I821&gt;0,J821*100/I821,0)</f>
        <v>58.117732719254093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IFERROR(__xludf.DUMMYFUNCTION("IMPORTRANGE(""https://docs.google.com/spreadsheets/d/19vJNZY_5yjcGF2XGBMNZRCAIB0Kwfpjp8YEOfu-bneM/edit?usp=sharing"",""งานกองทุน!C34"")"),96)</f>
        <v>96</v>
      </c>
      <c r="J822" s="892">
        <f ca="1">IFERROR(__xludf.DUMMYFUNCTION("IMPORTRANGE(""https://docs.google.com/spreadsheets/d/19vJNZY_5yjcGF2XGBMNZRCAIB0Kwfpjp8YEOfu-bneM/edit?usp=sharing"",""งานกองทุน!E34"")"),75)</f>
        <v>75</v>
      </c>
      <c r="K822" s="893">
        <f t="shared" ca="1" si="335"/>
        <v>78.125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892">
        <f ca="1">IFERROR(__xludf.DUMMYFUNCTION("IMPORTRANGE(""https://docs.google.com/spreadsheets/d/19vJNZY_5yjcGF2XGBMNZRCAIB0Kwfpjp8YEOfu-bneM/edit?usp=sharing"",""งานกองทุน!K34"")"),518613.06)</f>
        <v>518613.06</v>
      </c>
      <c r="K823" s="893">
        <f t="shared" ca="1" si="335"/>
        <v>6.4481910353395824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IFERROR(__xludf.DUMMYFUNCTION("IMPORTRANGE(""https://docs.google.com/spreadsheets/d/19vJNZY_5yjcGF2XGBMNZRCAIB0Kwfpjp8YEOfu-bneM/edit?usp=sharing"",""งานกองทุน!H34"")"),335)</f>
        <v>335</v>
      </c>
      <c r="J824" s="892">
        <f ca="1">IFERROR(__xludf.DUMMYFUNCTION("IMPORTRANGE(""https://docs.google.com/spreadsheets/d/19vJNZY_5yjcGF2XGBMNZRCAIB0Kwfpjp8YEOfu-bneM/edit?usp=sharing"",""งานกองทุน!J34"")"),134)</f>
        <v>134</v>
      </c>
      <c r="K824" s="893">
        <f t="shared" ca="1" si="335"/>
        <v>40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892">
        <f ca="1">IFERROR(__xludf.DUMMYFUNCTION("IMPORTRANGE(""https://docs.google.com/spreadsheets/d/19vJNZY_5yjcGF2XGBMNZRCAIB0Kwfpjp8YEOfu-bneM/edit?usp=sharing"",""งานกองทุน!P34"")"),845868.24)</f>
        <v>845868.24</v>
      </c>
      <c r="K825" s="893">
        <f t="shared" ca="1" si="335"/>
        <v>111.87972817562044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IFERROR(__xludf.DUMMYFUNCTION("IMPORTRANGE(""https://docs.google.com/spreadsheets/d/19vJNZY_5yjcGF2XGBMNZRCAIB0Kwfpjp8YEOfu-bneM/edit?usp=sharing"",""งานกองทุน!M34"")"),67)</f>
        <v>67</v>
      </c>
      <c r="J826" s="892">
        <f ca="1">IFERROR(__xludf.DUMMYFUNCTION("IMPORTRANGE(""https://docs.google.com/spreadsheets/d/19vJNZY_5yjcGF2XGBMNZRCAIB0Kwfpjp8YEOfu-bneM/edit?usp=sharing"",""งานกองทุน!O34"")"),19)</f>
        <v>19</v>
      </c>
      <c r="K826" s="893">
        <f t="shared" ca="1" si="335"/>
        <v>28.35820895522388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IFERROR(__xludf.DUMMYFUNCTION("IMPORTRANGE(""https://docs.google.com/spreadsheets/d/19vJNZY_5yjcGF2XGBMNZRCAIB0Kwfpjp8YEOfu-bneM/edit?usp=sharing"",""งานกองทุน!S34"")"),3930000)</f>
        <v>3930000</v>
      </c>
      <c r="J827" s="892">
        <f ca="1">IFERROR(__xludf.DUMMYFUNCTION("IMPORTRANGE(""https://docs.google.com/spreadsheets/d/19vJNZY_5yjcGF2XGBMNZRCAIB0Kwfpjp8YEOfu-bneM/edit?usp=sharing"",""งานกองทุน!U34"")"),1770000)</f>
        <v>1770000</v>
      </c>
      <c r="K827" s="893">
        <f t="shared" ca="1" si="335"/>
        <v>45.038167938931295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IFERROR(__xludf.DUMMYFUNCTION("IMPORTRANGE(""https://docs.google.com/spreadsheets/d/19vJNZY_5yjcGF2XGBMNZRCAIB0Kwfpjp8YEOfu-bneM/edit?usp=sharing"",""งานกองทุน!R34"")"),157)</f>
        <v>157</v>
      </c>
      <c r="J828" s="1149">
        <f ca="1">IFERROR(__xludf.DUMMYFUNCTION("IMPORTRANGE(""https://docs.google.com/spreadsheets/d/19vJNZY_5yjcGF2XGBMNZRCAIB0Kwfpjp8YEOfu-bneM/edit?usp=sharing"",""งานกองทุน!T34"")"),48)</f>
        <v>48</v>
      </c>
      <c r="K828" s="1251">
        <f t="shared" ca="1" si="335"/>
        <v>30.573248407643312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B6BA-FB8C-4BDA-8622-45BE1448AB65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5403919</v>
      </c>
      <c r="M8" s="879">
        <f t="shared" ca="1" si="0"/>
        <v>4775164</v>
      </c>
      <c r="N8" s="879">
        <f t="shared" ca="1" si="0"/>
        <v>2353107.64</v>
      </c>
      <c r="O8" s="879">
        <f t="shared" ref="O8:O16" ca="1" si="1">IF(L8&gt;0,N8*100/L8,0)</f>
        <v>43.544465414822092</v>
      </c>
      <c r="P8" s="879">
        <f t="shared" ref="P8:P16" ca="1" si="2">IF(M8&gt;0,N8*100/M8,0)</f>
        <v>49.278048670160857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5403919</v>
      </c>
      <c r="M10" s="886">
        <f t="shared" ca="1" si="3"/>
        <v>4775164</v>
      </c>
      <c r="N10" s="886">
        <f t="shared" ca="1" si="3"/>
        <v>2353107.64</v>
      </c>
      <c r="O10" s="886">
        <f t="shared" ca="1" si="1"/>
        <v>43.544465414822092</v>
      </c>
      <c r="P10" s="886">
        <f t="shared" ca="1" si="2"/>
        <v>49.278048670160857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5228519</v>
      </c>
      <c r="M11" s="893">
        <f t="shared" ca="1" si="4"/>
        <v>4613764</v>
      </c>
      <c r="N11" s="893">
        <f t="shared" ca="1" si="4"/>
        <v>2191707.64</v>
      </c>
      <c r="O11" s="893">
        <f t="shared" ca="1" si="1"/>
        <v>41.918326011629681</v>
      </c>
      <c r="P11" s="893">
        <f t="shared" ca="1" si="2"/>
        <v>47.503678991816663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5228519</v>
      </c>
      <c r="M13" s="899">
        <f t="shared" ca="1" si="5"/>
        <v>4613764</v>
      </c>
      <c r="N13" s="899">
        <f t="shared" ca="1" si="5"/>
        <v>2191707.64</v>
      </c>
      <c r="O13" s="899">
        <f t="shared" ca="1" si="1"/>
        <v>41.918326011629681</v>
      </c>
      <c r="P13" s="899">
        <f t="shared" ca="1" si="2"/>
        <v>47.503678991816663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175400</v>
      </c>
      <c r="M14" s="893">
        <f t="shared" ca="1" si="6"/>
        <v>161400</v>
      </c>
      <c r="N14" s="893">
        <f t="shared" ca="1" si="6"/>
        <v>161400</v>
      </c>
      <c r="O14" s="893">
        <f t="shared" ca="1" si="1"/>
        <v>92.018244013683017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175400</v>
      </c>
      <c r="M16" s="905">
        <f t="shared" ca="1" si="7"/>
        <v>161400</v>
      </c>
      <c r="N16" s="905">
        <f t="shared" ca="1" si="7"/>
        <v>161400</v>
      </c>
      <c r="O16" s="905">
        <f t="shared" ca="1" si="1"/>
        <v>92.018244013683017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3362475</v>
      </c>
      <c r="M18" s="879">
        <f t="shared" ca="1" si="8"/>
        <v>2733720</v>
      </c>
      <c r="N18" s="879">
        <f t="shared" ca="1" si="8"/>
        <v>1757904.27</v>
      </c>
      <c r="O18" s="879">
        <f t="shared" ref="O18:O26" ca="1" si="9">IF(L18&gt;0,N18*100/L18,0)</f>
        <v>52.280069591595478</v>
      </c>
      <c r="P18" s="879">
        <f t="shared" ref="P18:P26" ca="1" si="10">IF(M18&gt;0,N18*100/M18,0)</f>
        <v>64.304474123172824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3362475</v>
      </c>
      <c r="M20" s="886">
        <f t="shared" ca="1" si="11"/>
        <v>2733720</v>
      </c>
      <c r="N20" s="886">
        <f t="shared" ca="1" si="11"/>
        <v>1757904.27</v>
      </c>
      <c r="O20" s="886">
        <f t="shared" ca="1" si="9"/>
        <v>52.280069591595478</v>
      </c>
      <c r="P20" s="886">
        <f t="shared" ca="1" si="10"/>
        <v>64.304474123172824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3187075</v>
      </c>
      <c r="M21" s="893">
        <f t="shared" ca="1" si="12"/>
        <v>2572320</v>
      </c>
      <c r="N21" s="893">
        <f t="shared" ca="1" si="12"/>
        <v>1596504.27</v>
      </c>
      <c r="O21" s="893">
        <f t="shared" ca="1" si="9"/>
        <v>50.093087548928089</v>
      </c>
      <c r="P21" s="893">
        <f t="shared" ca="1" si="10"/>
        <v>62.064761382720654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3187075</v>
      </c>
      <c r="M23" s="899">
        <f t="shared" ca="1" si="13"/>
        <v>2572320</v>
      </c>
      <c r="N23" s="899">
        <f t="shared" ca="1" si="13"/>
        <v>1596504.27</v>
      </c>
      <c r="O23" s="899">
        <f t="shared" ca="1" si="9"/>
        <v>50.093087548928089</v>
      </c>
      <c r="P23" s="899">
        <f t="shared" ca="1" si="10"/>
        <v>62.064761382720654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175400</v>
      </c>
      <c r="M24" s="893">
        <f t="shared" ca="1" si="14"/>
        <v>161400</v>
      </c>
      <c r="N24" s="893">
        <f t="shared" ca="1" si="14"/>
        <v>161400</v>
      </c>
      <c r="O24" s="893">
        <f t="shared" ca="1" si="9"/>
        <v>92.018244013683017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175400</v>
      </c>
      <c r="M26" s="905">
        <f t="shared" ca="1" si="15"/>
        <v>161400</v>
      </c>
      <c r="N26" s="905">
        <f t="shared" ca="1" si="15"/>
        <v>161400</v>
      </c>
      <c r="O26" s="905">
        <f t="shared" ca="1" si="9"/>
        <v>92.018244013683017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2041444</v>
      </c>
      <c r="M28" s="879">
        <f t="shared" ca="1" si="16"/>
        <v>2041444</v>
      </c>
      <c r="N28" s="879">
        <f t="shared" si="16"/>
        <v>595203.37</v>
      </c>
      <c r="O28" s="879">
        <f t="shared" ref="O28:O37" ca="1" si="17">IF(L28&gt;0,N28*100/L28,0)</f>
        <v>29.155997911282405</v>
      </c>
      <c r="P28" s="879">
        <f t="shared" ref="P28:P37" ca="1" si="18">IF(M28&gt;0,N28*100/M28,0)</f>
        <v>29.155997911282405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2041444</v>
      </c>
      <c r="M30" s="886">
        <f t="shared" ca="1" si="19"/>
        <v>2041444</v>
      </c>
      <c r="N30" s="886">
        <f t="shared" si="19"/>
        <v>595203.37</v>
      </c>
      <c r="O30" s="886">
        <f t="shared" ca="1" si="17"/>
        <v>29.155997911282405</v>
      </c>
      <c r="P30" s="886">
        <f t="shared" ca="1" si="18"/>
        <v>29.155997911282405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2041444</v>
      </c>
      <c r="M31" s="893">
        <f t="shared" ca="1" si="20"/>
        <v>2041444</v>
      </c>
      <c r="N31" s="893">
        <f t="shared" si="20"/>
        <v>595203.37</v>
      </c>
      <c r="O31" s="893">
        <f t="shared" ca="1" si="17"/>
        <v>29.155997911282405</v>
      </c>
      <c r="P31" s="893">
        <f t="shared" ca="1" si="18"/>
        <v>29.155997911282405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2041444</v>
      </c>
      <c r="M33" s="899">
        <f t="shared" ca="1" si="21"/>
        <v>2041444</v>
      </c>
      <c r="N33" s="899">
        <f t="shared" si="21"/>
        <v>595203.37</v>
      </c>
      <c r="O33" s="899">
        <f t="shared" ca="1" si="17"/>
        <v>29.155997911282405</v>
      </c>
      <c r="P33" s="899">
        <f t="shared" ca="1" si="18"/>
        <v>29.155997911282405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3362475</v>
      </c>
      <c r="M37" s="912">
        <f t="shared" ca="1" si="24"/>
        <v>2733720</v>
      </c>
      <c r="N37" s="912">
        <f t="shared" ca="1" si="24"/>
        <v>1757904.27</v>
      </c>
      <c r="O37" s="912">
        <f t="shared" ca="1" si="17"/>
        <v>52.280069591595478</v>
      </c>
      <c r="P37" s="912">
        <f t="shared" ca="1" si="18"/>
        <v>64.304474123172824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432900</v>
      </c>
      <c r="M41" s="938">
        <f t="shared" ca="1" si="25"/>
        <v>436980</v>
      </c>
      <c r="N41" s="938">
        <f t="shared" ca="1" si="25"/>
        <v>225390</v>
      </c>
      <c r="O41" s="938">
        <f t="shared" ref="O41:O49" ca="1" si="26">IF(L41&gt;0,N41*100/L41,0)</f>
        <v>52.065142065142062</v>
      </c>
      <c r="P41" s="938">
        <f t="shared" ref="P41:P49" ca="1" si="27">IF(M41&gt;0,N41*100/M41,0)</f>
        <v>51.579019634765892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432900</v>
      </c>
      <c r="M43" s="944">
        <f t="shared" ca="1" si="28"/>
        <v>436980</v>
      </c>
      <c r="N43" s="944">
        <f t="shared" ca="1" si="28"/>
        <v>225390</v>
      </c>
      <c r="O43" s="944">
        <f t="shared" ca="1" si="26"/>
        <v>52.065142065142062</v>
      </c>
      <c r="P43" s="944">
        <f t="shared" ca="1" si="27"/>
        <v>51.579019634765892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432900</v>
      </c>
      <c r="M44" s="893">
        <f t="shared" ca="1" si="29"/>
        <v>436980</v>
      </c>
      <c r="N44" s="893">
        <f t="shared" ca="1" si="29"/>
        <v>225390</v>
      </c>
      <c r="O44" s="893">
        <f t="shared" ca="1" si="26"/>
        <v>52.065142065142062</v>
      </c>
      <c r="P44" s="893">
        <f t="shared" ca="1" si="27"/>
        <v>51.579019634765892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IFERROR(__xludf.DUMMYFUNCTION("IMPORTRANGE(""https://docs.google.com/spreadsheets/d/1MeEWN-I1oV_STSDYn1IFDPWt_1FKiwhDph83XaGc0o0/edit?usp=sharing"",""งบพรบ!M35"")"),432900)</f>
        <v>432900</v>
      </c>
      <c r="M46" s="899">
        <f ca="1">IFERROR(__xludf.DUMMYFUNCTION("IMPORTRANGE(""https://docs.google.com/spreadsheets/d/1MeEWN-I1oV_STSDYn1IFDPWt_1FKiwhDph83XaGc0o0/edit?usp=sharing"",""งบพรบ!R35"")"),436980)</f>
        <v>436980</v>
      </c>
      <c r="N46" s="899">
        <f ca="1">IFERROR(__xludf.DUMMYFUNCTION("IMPORTRANGE(""https://docs.google.com/spreadsheets/d/1MeEWN-I1oV_STSDYn1IFDPWt_1FKiwhDph83XaGc0o0/edit?usp=sharing"",""งบพรบ!T35"")"),225390)</f>
        <v>225390</v>
      </c>
      <c r="O46" s="899">
        <f t="shared" ca="1" si="26"/>
        <v>52.065142065142062</v>
      </c>
      <c r="P46" s="899">
        <f t="shared" ca="1" si="27"/>
        <v>51.579019634765892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IFERROR(__xludf.DUMMYFUNCTION("IMPORTRANGE(""https://docs.google.com/spreadsheets/d/1MeEWN-I1oV_STSDYn1IFDPWt_1FKiwhDph83XaGc0o0/edit?usp=sharing"",""งบพรบ!P35"")"),0)</f>
        <v>0</v>
      </c>
      <c r="M49" s="905">
        <f ca="1">IFERROR(__xludf.DUMMYFUNCTION("IMPORTRANGE(""https://docs.google.com/spreadsheets/d/1MeEWN-I1oV_STSDYn1IFDPWt_1FKiwhDph83XaGc0o0/edit?usp=sharing"",""งบพรบ!S35"")"),0)</f>
        <v>0</v>
      </c>
      <c r="N49" s="905">
        <f ca="1">IFERROR(__xludf.DUMMYFUNCTION("IMPORTRANGE(""https://docs.google.com/spreadsheets/d/1MeEWN-I1oV_STSDYn1IFDPWt_1FKiwhDph83XaGc0o0/edit?usp=sharing"",""งบพรบ!U35"")"),0)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673900</v>
      </c>
      <c r="M53" s="968">
        <f t="shared" ca="1" si="31"/>
        <v>505575</v>
      </c>
      <c r="N53" s="968">
        <f t="shared" ca="1" si="31"/>
        <v>314774.94</v>
      </c>
      <c r="O53" s="968">
        <f t="shared" ref="O53:O61" ca="1" si="32">IF(L53&gt;0,N53*100/L53,0)</f>
        <v>46.709443537616856</v>
      </c>
      <c r="P53" s="968">
        <f t="shared" ref="P53:P61" ca="1" si="33">IF(M53&gt;0,N53*100/M53,0)</f>
        <v>62.260780299658805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673900</v>
      </c>
      <c r="M55" s="974">
        <f t="shared" ca="1" si="34"/>
        <v>505575</v>
      </c>
      <c r="N55" s="974">
        <f t="shared" ca="1" si="34"/>
        <v>314774.94</v>
      </c>
      <c r="O55" s="974">
        <f t="shared" ca="1" si="32"/>
        <v>46.709443537616856</v>
      </c>
      <c r="P55" s="974">
        <f t="shared" ca="1" si="33"/>
        <v>62.260780299658805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634100</v>
      </c>
      <c r="M56" s="893">
        <f t="shared" ca="1" si="35"/>
        <v>475575</v>
      </c>
      <c r="N56" s="893">
        <f t="shared" ca="1" si="35"/>
        <v>284774.94</v>
      </c>
      <c r="O56" s="893">
        <f t="shared" ca="1" si="32"/>
        <v>44.910099353414289</v>
      </c>
      <c r="P56" s="893">
        <f t="shared" ca="1" si="33"/>
        <v>59.880132471219049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IFERROR(__xludf.DUMMYFUNCTION("IMPORTRANGE(""https://docs.google.com/spreadsheets/d/1MeEWN-I1oV_STSDYn1IFDPWt_1FKiwhDph83XaGc0o0/edit?usp=sharing"",""งบพรบ!W35"")"),634100)</f>
        <v>634100</v>
      </c>
      <c r="M58" s="899">
        <f ca="1">IFERROR(__xludf.DUMMYFUNCTION("IMPORTRANGE(""https://docs.google.com/spreadsheets/d/1MeEWN-I1oV_STSDYn1IFDPWt_1FKiwhDph83XaGc0o0/edit?usp=sharing"",""งบพรบ!AB35"")"),475575)</f>
        <v>475575</v>
      </c>
      <c r="N58" s="899">
        <f ca="1">IFERROR(__xludf.DUMMYFUNCTION("IMPORTRANGE(""https://docs.google.com/spreadsheets/d/1MeEWN-I1oV_STSDYn1IFDPWt_1FKiwhDph83XaGc0o0/edit?usp=sharing"",""งบพรบ!AD35"")"),284774.94)</f>
        <v>284774.94</v>
      </c>
      <c r="O58" s="899">
        <f t="shared" ca="1" si="32"/>
        <v>44.910099353414289</v>
      </c>
      <c r="P58" s="899">
        <f t="shared" ca="1" si="33"/>
        <v>59.880132471219049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39800</v>
      </c>
      <c r="M59" s="893">
        <f t="shared" ca="1" si="36"/>
        <v>30000</v>
      </c>
      <c r="N59" s="893">
        <f t="shared" ca="1" si="36"/>
        <v>30000</v>
      </c>
      <c r="O59" s="893">
        <f t="shared" ca="1" si="32"/>
        <v>75.37688442211055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IFERROR(__xludf.DUMMYFUNCTION("IMPORTRANGE(""https://docs.google.com/spreadsheets/d/1MeEWN-I1oV_STSDYn1IFDPWt_1FKiwhDph83XaGc0o0/edit?usp=sharing"",""งบพรบ!Z35"")"),39800)</f>
        <v>39800</v>
      </c>
      <c r="M61" s="905">
        <f ca="1">IFERROR(__xludf.DUMMYFUNCTION("IMPORTRANGE(""https://docs.google.com/spreadsheets/d/1MeEWN-I1oV_STSDYn1IFDPWt_1FKiwhDph83XaGc0o0/edit?usp=sharing"",""งบพรบ!AC35"")"),30000)</f>
        <v>30000</v>
      </c>
      <c r="N61" s="905">
        <f ca="1">IFERROR(__xludf.DUMMYFUNCTION("IMPORTRANGE(""https://docs.google.com/spreadsheets/d/1MeEWN-I1oV_STSDYn1IFDPWt_1FKiwhDph83XaGc0o0/edit?usp=sharing"",""งบพรบ!AE35"")"),30000)</f>
        <v>30000</v>
      </c>
      <c r="O61" s="905">
        <f t="shared" ca="1" si="32"/>
        <v>75.37688442211055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50</v>
      </c>
      <c r="J65" s="994">
        <f t="shared" si="37"/>
        <v>50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885100</v>
      </c>
      <c r="M66" s="1004">
        <f t="shared" ca="1" si="39"/>
        <v>689510</v>
      </c>
      <c r="N66" s="1004">
        <f t="shared" ca="1" si="39"/>
        <v>510208.09</v>
      </c>
      <c r="O66" s="1004">
        <f t="shared" ref="O66:O74" ca="1" si="40">IF(L66&gt;0,N66*100/L66,0)</f>
        <v>57.644118178736868</v>
      </c>
      <c r="P66" s="1004">
        <f t="shared" ref="P66:P74" ca="1" si="41">IF(M66&gt;0,N66*100/M66,0)</f>
        <v>73.995749155197174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885100</v>
      </c>
      <c r="M68" s="899">
        <f t="shared" ca="1" si="42"/>
        <v>689510</v>
      </c>
      <c r="N68" s="899">
        <f t="shared" ca="1" si="42"/>
        <v>510208.09</v>
      </c>
      <c r="O68" s="899">
        <f t="shared" ca="1" si="40"/>
        <v>57.644118178736868</v>
      </c>
      <c r="P68" s="899">
        <f t="shared" ca="1" si="41"/>
        <v>73.995749155197174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885100</v>
      </c>
      <c r="M69" s="893">
        <f t="shared" ca="1" si="43"/>
        <v>689510</v>
      </c>
      <c r="N69" s="893">
        <f t="shared" ca="1" si="43"/>
        <v>510208.09</v>
      </c>
      <c r="O69" s="893">
        <f t="shared" ca="1" si="40"/>
        <v>57.644118178736868</v>
      </c>
      <c r="P69" s="893">
        <f t="shared" ca="1" si="41"/>
        <v>73.995749155197174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IFERROR(__xludf.DUMMYFUNCTION("IMPORTRANGE(""https://docs.google.com/spreadsheets/d/1MeEWN-I1oV_STSDYn1IFDPWt_1FKiwhDph83XaGc0o0/edit?usp=sharing"",""งบพรบ!AG35"")"),885100)</f>
        <v>885100</v>
      </c>
      <c r="M71" s="899">
        <f ca="1">IFERROR(__xludf.DUMMYFUNCTION("IMPORTRANGE(""https://docs.google.com/spreadsheets/d/1MeEWN-I1oV_STSDYn1IFDPWt_1FKiwhDph83XaGc0o0/edit?usp=sharing"",""งบพรบ!AL35"")"),689510)</f>
        <v>689510</v>
      </c>
      <c r="N71" s="899">
        <f ca="1">IFERROR(__xludf.DUMMYFUNCTION("IMPORTRANGE(""https://docs.google.com/spreadsheets/d/1MeEWN-I1oV_STSDYn1IFDPWt_1FKiwhDph83XaGc0o0/edit?usp=sharing"",""งบพรบ!AN35"")"),510208.09)</f>
        <v>510208.09</v>
      </c>
      <c r="O71" s="899">
        <f t="shared" ca="1" si="40"/>
        <v>57.644118178736868</v>
      </c>
      <c r="P71" s="899">
        <f t="shared" ca="1" si="41"/>
        <v>73.995749155197174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IFERROR(__xludf.DUMMYFUNCTION("IMPORTRANGE(""https://docs.google.com/spreadsheets/d/1MeEWN-I1oV_STSDYn1IFDPWt_1FKiwhDph83XaGc0o0/edit?usp=sharing"",""งบพรบ!AJ35"")"),0)</f>
        <v>0</v>
      </c>
      <c r="M74" s="899">
        <f ca="1">IFERROR(__xludf.DUMMYFUNCTION("IMPORTRANGE(""https://docs.google.com/spreadsheets/d/1MeEWN-I1oV_STSDYn1IFDPWt_1FKiwhDph83XaGc0o0/edit?usp=sharing"",""งบพรบ!AM35"")"),0)</f>
        <v>0</v>
      </c>
      <c r="N74" s="899">
        <f ca="1">IFERROR(__xludf.DUMMYFUNCTION("IMPORTRANGE(""https://docs.google.com/spreadsheets/d/1MeEWN-I1oV_STSDYn1IFDPWt_1FKiwhDph83XaGc0o0/edit?usp=sharing"",""งบพรบ!AO35"")"),0)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50</v>
      </c>
      <c r="J77" s="892">
        <f t="shared" si="45"/>
        <v>50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IFERROR(__xludf.DUMMYFUNCTION("IMPORTRANGE(""https://docs.google.com/spreadsheets/d/1QqKyyYR6Q21VydFLVH3TRQUabQu_ym0Zz7PgGX0-kHA/edit?usp=sharing"",""แผน!H35"")"),0)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IFERROR(__xludf.DUMMYFUNCTION("IMPORTRANGE(""https://docs.google.com/spreadsheets/d/1QqKyyYR6Q21VydFLVH3TRQUabQu_ym0Zz7PgGX0-kHA/edit?usp=sharing"",""แผน!I35"")"),0)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IFERROR(__xludf.DUMMYFUNCTION("IMPORTRANGE(""https://docs.google.com/spreadsheets/d/1QqKyyYR6Q21VydFLVH3TRQUabQu_ym0Zz7PgGX0-kHA/edit?usp=sharing"",""แผน!F35"")"),0)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IFERROR(__xludf.DUMMYFUNCTION("IMPORTRANGE(""https://docs.google.com/spreadsheets/d/1QqKyyYR6Q21VydFLVH3TRQUabQu_ym0Zz7PgGX0-kHA/edit?usp=sharing"",""แผน!G35"")"),0)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IFERROR(__xludf.DUMMYFUNCTION("IMPORTRANGE(""https://docs.google.com/spreadsheets/d/1QqKyyYR6Q21VydFLVH3TRQUabQu_ym0Zz7PgGX0-kHA/edit?usp=sharing"",""แผน!D35"")"),1)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IFERROR(__xludf.DUMMYFUNCTION("IMPORTRANGE(""https://docs.google.com/spreadsheets/d/1QqKyyYR6Q21VydFLVH3TRQUabQu_ym0Zz7PgGX0-kHA/edit?usp=sharing"",""แผน!E35"")"),50)</f>
        <v>50</v>
      </c>
      <c r="J83" s="1024">
        <v>50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IFERROR(__xludf.DUMMYFUNCTION("IMPORTRANGE(""https://docs.google.com/spreadsheets/d/1QqKyyYR6Q21VydFLVH3TRQUabQu_ym0Zz7PgGX0-kHA/edit?usp=sharing"",""แผน!J35"")"),1)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85840</v>
      </c>
      <c r="M88" s="1004">
        <f t="shared" ca="1" si="49"/>
        <v>51390</v>
      </c>
      <c r="N88" s="1004">
        <f t="shared" ca="1" si="49"/>
        <v>21820</v>
      </c>
      <c r="O88" s="1004">
        <f t="shared" ref="O88:O96" ca="1" si="50">IF(L88&gt;0,N88*100/L88,0)</f>
        <v>25.419384902143523</v>
      </c>
      <c r="P88" s="1004">
        <f t="shared" ref="P88:P96" ca="1" si="51">IF(M88&gt;0,N88*100/M88,0)</f>
        <v>42.459622494648762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85840</v>
      </c>
      <c r="M90" s="899">
        <f t="shared" ca="1" si="52"/>
        <v>51390</v>
      </c>
      <c r="N90" s="899">
        <f t="shared" ca="1" si="52"/>
        <v>21820</v>
      </c>
      <c r="O90" s="899">
        <f t="shared" ca="1" si="50"/>
        <v>25.419384902143523</v>
      </c>
      <c r="P90" s="899">
        <f t="shared" ca="1" si="51"/>
        <v>42.459622494648762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85840</v>
      </c>
      <c r="M91" s="893">
        <f t="shared" ca="1" si="53"/>
        <v>51390</v>
      </c>
      <c r="N91" s="893">
        <f t="shared" ca="1" si="53"/>
        <v>21820</v>
      </c>
      <c r="O91" s="893">
        <f t="shared" ca="1" si="50"/>
        <v>25.419384902143523</v>
      </c>
      <c r="P91" s="893">
        <f t="shared" ca="1" si="51"/>
        <v>42.459622494648762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IFERROR(__xludf.DUMMYFUNCTION("IMPORTRANGE(""https://docs.google.com/spreadsheets/d/1MeEWN-I1oV_STSDYn1IFDPWt_1FKiwhDph83XaGc0o0/edit?usp=sharing"",""งบพรบ!AQ35"")"),85840)</f>
        <v>85840</v>
      </c>
      <c r="M93" s="899">
        <f ca="1">IFERROR(__xludf.DUMMYFUNCTION("IMPORTRANGE(""https://docs.google.com/spreadsheets/d/1MeEWN-I1oV_STSDYn1IFDPWt_1FKiwhDph83XaGc0o0/edit?usp=sharing"",""งบพรบ!AV35"")"),51390)</f>
        <v>51390</v>
      </c>
      <c r="N93" s="899">
        <f ca="1">IFERROR(__xludf.DUMMYFUNCTION("IMPORTRANGE(""https://docs.google.com/spreadsheets/d/1MeEWN-I1oV_STSDYn1IFDPWt_1FKiwhDph83XaGc0o0/edit?usp=sharing"",""งบพรบ!AX35"")"),21820)</f>
        <v>21820</v>
      </c>
      <c r="O93" s="899">
        <f t="shared" ca="1" si="50"/>
        <v>25.419384902143523</v>
      </c>
      <c r="P93" s="899">
        <f t="shared" ca="1" si="51"/>
        <v>42.459622494648762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IFERROR(__xludf.DUMMYFUNCTION("IMPORTRANGE(""https://docs.google.com/spreadsheets/d/1MeEWN-I1oV_STSDYn1IFDPWt_1FKiwhDph83XaGc0o0/edit?usp=sharing"",""งบพรบ!AT35"")"),0)</f>
        <v>0</v>
      </c>
      <c r="M96" s="899">
        <f ca="1">IFERROR(__xludf.DUMMYFUNCTION("IMPORTRANGE(""https://docs.google.com/spreadsheets/d/1MeEWN-I1oV_STSDYn1IFDPWt_1FKiwhDph83XaGc0o0/edit?usp=sharing"",""งบพรบ!AW35"")"),0)</f>
        <v>0</v>
      </c>
      <c r="N96" s="899">
        <f ca="1">IFERROR(__xludf.DUMMYFUNCTION("IMPORTRANGE(""https://docs.google.com/spreadsheets/d/1MeEWN-I1oV_STSDYn1IFDPWt_1FKiwhDph83XaGc0o0/edit?usp=sharing"",""งบพรบ!AY35"")"),0)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IFERROR(__xludf.DUMMYFUNCTION("IMPORTRANGE(""https://docs.google.com/spreadsheets/d/1QqKyyYR6Q21VydFLVH3TRQUabQu_ym0Zz7PgGX0-kHA/edit?usp=sharing"",""แผน!K35"")"),30)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IFERROR(__xludf.DUMMYFUNCTION("IMPORTRANGE(""https://docs.google.com/spreadsheets/d/1QqKyyYR6Q21VydFLVH3TRQUabQu_ym0Zz7PgGX0-kHA/edit?usp=sharing"",""แผน!L35"")"),10)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IFERROR(__xludf.DUMMYFUNCTION("IMPORTRANGE(""https://docs.google.com/spreadsheets/d/1QqKyyYR6Q21VydFLVH3TRQUabQu_ym0Zz7PgGX0-kHA/edit?usp=sharing"",""แผน!M35"")"),2)</f>
        <v>2</v>
      </c>
      <c r="J100" s="892">
        <f>J107+J110</f>
        <v>0</v>
      </c>
      <c r="K100" s="893">
        <f t="shared" ca="1" si="55"/>
        <v>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IFERROR(__xludf.DUMMYFUNCTION("IMPORTRANGE(""https://docs.google.com/spreadsheets/d/1QqKyyYR6Q21VydFLVH3TRQUabQu_ym0Zz7PgGX0-kHA/edit?usp=sharing"",""แผน!N35"")"),30)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IFERROR(__xludf.DUMMYFUNCTION("IMPORTRANGE(""https://docs.google.com/spreadsheets/d/1QqKyyYR6Q21VydFLVH3TRQUabQu_ym0Zz7PgGX0-kHA/edit?usp=sharing"",""แผน!O35"")"),10)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IFERROR(__xludf.DUMMYFUNCTION("IMPORTRANGE(""https://docs.google.com/spreadsheets/d/1QqKyyYR6Q21VydFLVH3TRQUabQu_ym0Zz7PgGX0-kHA/edit?usp=sharing"",""แผน!O35"")"),10)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IFERROR(__xludf.DUMMYFUNCTION("IMPORTRANGE(""https://docs.google.com/spreadsheets/d/1QqKyyYR6Q21VydFLVH3TRQUabQu_ym0Zz7PgGX0-kHA/edit?usp=sharing"",""แผน!P35"")"),1)</f>
        <v>1</v>
      </c>
      <c r="J106" s="1024">
        <v>0</v>
      </c>
      <c r="K106" s="893">
        <f t="shared" ref="K106:K107" ca="1" si="57">IF(I106&gt;0,J106*100/I106,0)</f>
        <v>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IFERROR(__xludf.DUMMYFUNCTION("IMPORTRANGE(""https://docs.google.com/spreadsheets/d/1QqKyyYR6Q21VydFLVH3TRQUabQu_ym0Zz7PgGX0-kHA/edit?usp=sharing"",""แผน!P35"")"),1)</f>
        <v>1</v>
      </c>
      <c r="J107" s="1024">
        <v>0</v>
      </c>
      <c r="K107" s="893">
        <f t="shared" ca="1" si="57"/>
        <v>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IFERROR(__xludf.DUMMYFUNCTION("IMPORTRANGE(""https://docs.google.com/spreadsheets/d/1QqKyyYR6Q21VydFLVH3TRQUabQu_ym0Zz7PgGX0-kHA/edit?usp=sharing"",""แผน!Q35"")"),1)</f>
        <v>1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IFERROR(__xludf.DUMMYFUNCTION("IMPORTRANGE(""https://docs.google.com/spreadsheets/d/1QqKyyYR6Q21VydFLVH3TRQUabQu_ym0Zz7PgGX0-kHA/edit?usp=sharing"",""แผน!Q35"")"),1)</f>
        <v>1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IFERROR(__xludf.DUMMYFUNCTION("IMPORTRANGE(""https://docs.google.com/spreadsheets/d/1QqKyyYR6Q21VydFLVH3TRQUabQu_ym0Zz7PgGX0-kHA/edit?usp=sharing"",""แผน!R35"")"),10)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IFERROR(__xludf.DUMMYFUNCTION("IMPORTRANGE(""https://docs.google.com/spreadsheets/d/1QqKyyYR6Q21VydFLVH3TRQUabQu_ym0Zz7PgGX0-kHA/edit?usp=sharing"",""แผน!R35"")"),10)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IFERROR(__xludf.DUMMYFUNCTION("IMPORTRANGE(""https://docs.google.com/spreadsheets/d/1QqKyyYR6Q21VydFLVH3TRQUabQu_ym0Zz7PgGX0-kHA/edit?usp=sharing"",""แผน!R35"")"),10)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IFERROR(__xludf.DUMMYFUNCTION("IMPORTRANGE(""https://docs.google.com/spreadsheets/d/1QqKyyYR6Q21VydFLVH3TRQUabQu_ym0Zz7PgGX0-kHA/edit?usp=sharing"",""แผน!S35"")"),1)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IFERROR(__xludf.DUMMYFUNCTION("IMPORTRANGE(""https://docs.google.com/spreadsheets/d/1QqKyyYR6Q21VydFLVH3TRQUabQu_ym0Zz7PgGX0-kHA/edit?usp=sharing"",""แผน!T35"")"),1)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IFERROR(__xludf.DUMMYFUNCTION("IMPORTRANGE(""https://docs.google.com/spreadsheets/d/1MeEWN-I1oV_STSDYn1IFDPWt_1FKiwhDph83XaGc0o0/edit?usp=sharing"",""งบพรบ!BA35"")"),0)</f>
        <v>0</v>
      </c>
      <c r="M124" s="899">
        <f ca="1">IFERROR(__xludf.DUMMYFUNCTION("IMPORTRANGE(""https://docs.google.com/spreadsheets/d/1MeEWN-I1oV_STSDYn1IFDPWt_1FKiwhDph83XaGc0o0/edit?usp=sharing"",""งบพรบ!BF35"")"),0)</f>
        <v>0</v>
      </c>
      <c r="N124" s="899">
        <f ca="1">IFERROR(__xludf.DUMMYFUNCTION("IMPORTRANGE(""https://docs.google.com/spreadsheets/d/1MeEWN-I1oV_STSDYn1IFDPWt_1FKiwhDph83XaGc0o0/edit?usp=sharing"",""งบพรบ!BH35"")"),0)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IFERROR(__xludf.DUMMYFUNCTION("IMPORTRANGE(""https://docs.google.com/spreadsheets/d/1MeEWN-I1oV_STSDYn1IFDPWt_1FKiwhDph83XaGc0o0/edit?usp=sharing"",""งบพรบ!BD35"")"),0)</f>
        <v>0</v>
      </c>
      <c r="M127" s="899">
        <f ca="1">IFERROR(__xludf.DUMMYFUNCTION("IMPORTRANGE(""https://docs.google.com/spreadsheets/d/1MeEWN-I1oV_STSDYn1IFDPWt_1FKiwhDph83XaGc0o0/edit?usp=sharing"",""งบพรบ!BG35"")"),0)</f>
        <v>0</v>
      </c>
      <c r="N127" s="899">
        <f ca="1">IFERROR(__xludf.DUMMYFUNCTION("IMPORTRANGE(""https://docs.google.com/spreadsheets/d/1MeEWN-I1oV_STSDYn1IFDPWt_1FKiwhDph83XaGc0o0/edit?usp=sharing"",""งบพรบ!BI35"")"),0)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IFERROR(__xludf.DUMMYFUNCTION("IMPORTRANGE(""https://docs.google.com/spreadsheets/d/1MeEWN-I1oV_STSDYn1IFDPWt_1FKiwhDph83XaGc0o0/edit?usp=sharing"",""งบพรบ!BK35"")"),0)</f>
        <v>0</v>
      </c>
      <c r="M137" s="899">
        <f ca="1">IFERROR(__xludf.DUMMYFUNCTION("IMPORTRANGE(""https://docs.google.com/spreadsheets/d/1MeEWN-I1oV_STSDYn1IFDPWt_1FKiwhDph83XaGc0o0/edit?usp=sharing"",""งบพรบ!BP35"")"),0)</f>
        <v>0</v>
      </c>
      <c r="N137" s="899">
        <f ca="1">IFERROR(__xludf.DUMMYFUNCTION("IMPORTRANGE(""https://docs.google.com/spreadsheets/d/1MeEWN-I1oV_STSDYn1IFDPWt_1FKiwhDph83XaGc0o0/edit?usp=sharing"",""งบพรบ!BR35"")"),0)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IFERROR(__xludf.DUMMYFUNCTION("IMPORTRANGE(""https://docs.google.com/spreadsheets/d/1MeEWN-I1oV_STSDYn1IFDPWt_1FKiwhDph83XaGc0o0/edit?usp=sharing"",""งบพรบ!BN35"")"),0)</f>
        <v>0</v>
      </c>
      <c r="M140" s="899">
        <f ca="1">IFERROR(__xludf.DUMMYFUNCTION("IMPORTRANGE(""https://docs.google.com/spreadsheets/d/1MeEWN-I1oV_STSDYn1IFDPWt_1FKiwhDph83XaGc0o0/edit?usp=sharing"",""งบพรบ!BQ35"")"),0)</f>
        <v>0</v>
      </c>
      <c r="N140" s="899">
        <f ca="1">IFERROR(__xludf.DUMMYFUNCTION("IMPORTRANGE(""https://docs.google.com/spreadsheets/d/1MeEWN-I1oV_STSDYn1IFDPWt_1FKiwhDph83XaGc0o0/edit?usp=sharing"",""งบพรบ!BS35"")"),0)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IFERROR(__xludf.DUMMYFUNCTION("IMPORTRANGE(""https://docs.google.com/spreadsheets/d/1QqKyyYR6Q21VydFLVH3TRQUabQu_ym0Zz7PgGX0-kHA/edit?usp=sharing"",""แผน!U35"")"),0)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IFERROR(__xludf.DUMMYFUNCTION("IMPORTRANGE(""https://docs.google.com/spreadsheets/d/1QqKyyYR6Q21VydFLVH3TRQUabQu_ym0Zz7PgGX0-kHA/edit?usp=sharing"",""แผน!V35"")"),0)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IFERROR(__xludf.DUMMYFUNCTION("IMPORTRANGE(""https://docs.google.com/spreadsheets/d/1QqKyyYR6Q21VydFLVH3TRQUabQu_ym0Zz7PgGX0-kHA/edit?usp=sharing"",""แผน!W35"")"),0)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IFERROR(__xludf.DUMMYFUNCTION("IMPORTRANGE(""https://docs.google.com/spreadsheets/d/1MeEWN-I1oV_STSDYn1IFDPWt_1FKiwhDph83XaGc0o0/edit?usp=sharing"",""งบพรบ!BU35"")"),0)</f>
        <v>0</v>
      </c>
      <c r="M154" s="899">
        <f ca="1">IFERROR(__xludf.DUMMYFUNCTION("IMPORTRANGE(""https://docs.google.com/spreadsheets/d/1MeEWN-I1oV_STSDYn1IFDPWt_1FKiwhDph83XaGc0o0/edit?usp=sharing"",""งบพรบ!BZ35"")"),0)</f>
        <v>0</v>
      </c>
      <c r="N154" s="899">
        <f ca="1">IFERROR(__xludf.DUMMYFUNCTION("IMPORTRANGE(""https://docs.google.com/spreadsheets/d/1MeEWN-I1oV_STSDYn1IFDPWt_1FKiwhDph83XaGc0o0/edit?usp=sharing"",""งบพรบ!CB35"")"),0)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IFERROR(__xludf.DUMMYFUNCTION("IMPORTRANGE(""https://docs.google.com/spreadsheets/d/1MeEWN-I1oV_STSDYn1IFDPWt_1FKiwhDph83XaGc0o0/edit?usp=sharing"",""งบพรบ!BX35"")"),0)</f>
        <v>0</v>
      </c>
      <c r="M157" s="899">
        <f ca="1">IFERROR(__xludf.DUMMYFUNCTION("IMPORTRANGE(""https://docs.google.com/spreadsheets/d/1MeEWN-I1oV_STSDYn1IFDPWt_1FKiwhDph83XaGc0o0/edit?usp=sharing"",""งบพรบ!CA35"")"),0)</f>
        <v>0</v>
      </c>
      <c r="N157" s="899">
        <f ca="1">IFERROR(__xludf.DUMMYFUNCTION("IMPORTRANGE(""https://docs.google.com/spreadsheets/d/1MeEWN-I1oV_STSDYn1IFDPWt_1FKiwhDph83XaGc0o0/edit?usp=sharing"",""งบพรบ!CC35"")"),0)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IFERROR(__xludf.DUMMYFUNCTION("IMPORTRANGE(""https://docs.google.com/spreadsheets/d/1QqKyyYR6Q21VydFLVH3TRQUabQu_ym0Zz7PgGX0-kHA/edit?usp=sharing"",""แผน!X35"")"),0)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IFERROR(__xludf.DUMMYFUNCTION("IMPORTRANGE(""https://docs.google.com/spreadsheets/d/1MeEWN-I1oV_STSDYn1IFDPWt_1FKiwhDph83XaGc0o0/edit?usp=sharing"",""งบพรบ!CE35"")"),22055)</f>
        <v>22055</v>
      </c>
      <c r="M170" s="899">
        <f ca="1">IFERROR(__xludf.DUMMYFUNCTION("IMPORTRANGE(""https://docs.google.com/spreadsheets/d/1MeEWN-I1oV_STSDYn1IFDPWt_1FKiwhDph83XaGc0o0/edit?usp=sharing"",""งบพรบ!CJ35"")"),22055)</f>
        <v>22055</v>
      </c>
      <c r="N170" s="899">
        <f ca="1">IFERROR(__xludf.DUMMYFUNCTION("IMPORTRANGE(""https://docs.google.com/spreadsheets/d/1MeEWN-I1oV_STSDYn1IFDPWt_1FKiwhDph83XaGc0o0/edit?usp=sharing"",""งบพรบ!CL35"")"),22055)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IFERROR(__xludf.DUMMYFUNCTION("IMPORTRANGE(""https://docs.google.com/spreadsheets/d/1MeEWN-I1oV_STSDYn1IFDPWt_1FKiwhDph83XaGc0o0/edit?usp=sharing"",""งบพรบ!CH35"")"),0)</f>
        <v>0</v>
      </c>
      <c r="M173" s="899">
        <f ca="1">IFERROR(__xludf.DUMMYFUNCTION("IMPORTRANGE(""https://docs.google.com/spreadsheets/d/1MeEWN-I1oV_STSDYn1IFDPWt_1FKiwhDph83XaGc0o0/edit?usp=sharing"",""งบพรบ!CK35"")"),0)</f>
        <v>0</v>
      </c>
      <c r="N173" s="899">
        <f ca="1">IFERROR(__xludf.DUMMYFUNCTION("IMPORTRANGE(""https://docs.google.com/spreadsheets/d/1MeEWN-I1oV_STSDYn1IFDPWt_1FKiwhDph83XaGc0o0/edit?usp=sharing"",""งบพรบ!CM35"")"),0)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IFERROR(__xludf.DUMMYFUNCTION("IMPORTRANGE(""https://docs.google.com/spreadsheets/d/1QqKyyYR6Q21VydFLVH3TRQUabQu_ym0Zz7PgGX0-kHA/edit?usp=sharing"",""แผน!Y35"")"),11)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65500</v>
      </c>
      <c r="M181" s="1004">
        <f t="shared" ca="1" si="92"/>
        <v>60500</v>
      </c>
      <c r="N181" s="1004">
        <f t="shared" ca="1" si="92"/>
        <v>32940</v>
      </c>
      <c r="O181" s="1004">
        <f t="shared" ref="O181:O189" ca="1" si="93">IF(L181&gt;0,N181*100/L181,0)</f>
        <v>50.290076335877863</v>
      </c>
      <c r="P181" s="1004">
        <f t="shared" ref="P181:P189" ca="1" si="94">IF(M181&gt;0,N181*100/M181,0)</f>
        <v>54.446280991735534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65500</v>
      </c>
      <c r="M183" s="899">
        <f t="shared" ca="1" si="95"/>
        <v>60500</v>
      </c>
      <c r="N183" s="899">
        <f t="shared" ca="1" si="95"/>
        <v>32940</v>
      </c>
      <c r="O183" s="899">
        <f t="shared" ca="1" si="93"/>
        <v>50.290076335877863</v>
      </c>
      <c r="P183" s="899">
        <f t="shared" ca="1" si="94"/>
        <v>54.446280991735534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65500</v>
      </c>
      <c r="M184" s="893">
        <f t="shared" ca="1" si="96"/>
        <v>60500</v>
      </c>
      <c r="N184" s="893">
        <f t="shared" ca="1" si="96"/>
        <v>32940</v>
      </c>
      <c r="O184" s="893">
        <f t="shared" ca="1" si="93"/>
        <v>50.290076335877863</v>
      </c>
      <c r="P184" s="893">
        <f t="shared" ca="1" si="94"/>
        <v>54.446280991735534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IFERROR(__xludf.DUMMYFUNCTION("IMPORTRANGE(""https://docs.google.com/spreadsheets/d/1MeEWN-I1oV_STSDYn1IFDPWt_1FKiwhDph83XaGc0o0/edit?usp=sharing"",""งบพรบ!CO35"")"),65500)</f>
        <v>65500</v>
      </c>
      <c r="M186" s="899">
        <f ca="1">IFERROR(__xludf.DUMMYFUNCTION("IMPORTRANGE(""https://docs.google.com/spreadsheets/d/1MeEWN-I1oV_STSDYn1IFDPWt_1FKiwhDph83XaGc0o0/edit?usp=sharing"",""งบพรบ!CT35"")"),60500)</f>
        <v>60500</v>
      </c>
      <c r="N186" s="899">
        <f ca="1">IFERROR(__xludf.DUMMYFUNCTION("IMPORTRANGE(""https://docs.google.com/spreadsheets/d/1MeEWN-I1oV_STSDYn1IFDPWt_1FKiwhDph83XaGc0o0/edit?usp=sharing"",""งบพรบ!CV35"")"),32940)</f>
        <v>32940</v>
      </c>
      <c r="O186" s="899">
        <f t="shared" ca="1" si="93"/>
        <v>50.290076335877863</v>
      </c>
      <c r="P186" s="899">
        <f t="shared" ca="1" si="94"/>
        <v>54.446280991735534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IFERROR(__xludf.DUMMYFUNCTION("IMPORTRANGE(""https://docs.google.com/spreadsheets/d/1MeEWN-I1oV_STSDYn1IFDPWt_1FKiwhDph83XaGc0o0/edit?usp=sharing"",""งบพรบ!CR35"")"),0)</f>
        <v>0</v>
      </c>
      <c r="M189" s="899">
        <f ca="1">IFERROR(__xludf.DUMMYFUNCTION("IMPORTRANGE(""https://docs.google.com/spreadsheets/d/1MeEWN-I1oV_STSDYn1IFDPWt_1FKiwhDph83XaGc0o0/edit?usp=sharing"",""งบพรบ!CU35"")"),0)</f>
        <v>0</v>
      </c>
      <c r="N189" s="899">
        <f ca="1">IFERROR(__xludf.DUMMYFUNCTION("IMPORTRANGE(""https://docs.google.com/spreadsheets/d/1MeEWN-I1oV_STSDYn1IFDPWt_1FKiwhDph83XaGc0o0/edit?usp=sharing"",""งบพรบ!CW35"")"),0)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IFERROR(__xludf.DUMMYFUNCTION("IMPORTRANGE(""https://docs.google.com/spreadsheets/d/1QqKyyYR6Q21VydFLVH3TRQUabQu_ym0Zz7PgGX0-kHA/edit?usp=sharing"",""แผน!Z35"")"),6000)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IFERROR(__xludf.DUMMYFUNCTION("IMPORTRANGE(""https://docs.google.com/spreadsheets/d/1QqKyyYR6Q21VydFLVH3TRQUabQu_ym0Zz7PgGX0-kHA/edit?usp=sharing"",""แผน!AC35"")"),4)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89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89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24000</v>
      </c>
      <c r="O198" s="1004">
        <f ca="1">IF(L198&gt;0,N198*100/L198,0)</f>
        <v>61.53846153846154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IFERROR(__xludf.DUMMYFUNCTION("IMPORTRANGE(""https://docs.google.com/spreadsheets/d/1QqKyyYR6Q21VydFLVH3TRQUabQu_ym0Zz7PgGX0-kHA/edit?usp=sharing"",""แผน!AE35"")"),3000)</f>
        <v>3000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IFERROR(__xludf.DUMMYFUNCTION("IMPORTRANGE(""https://docs.google.com/spreadsheets/d/1QqKyyYR6Q21VydFLVH3TRQUabQu_ym0Zz7PgGX0-kHA/edit?usp=sharing"",""แผน!AF35"")"),24000)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IFERROR(__xludf.DUMMYFUNCTION("IMPORTRANGE(""https://docs.google.com/spreadsheets/d/1QqKyyYR6Q21VydFLVH3TRQUabQu_ym0Zz7PgGX0-kHA/edit?usp=sharing"",""แผน!AG35"")"),12000)</f>
        <v>12000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IFERROR(__xludf.DUMMYFUNCTION("IMPORTRANGE(""https://docs.google.com/spreadsheets/d/1QqKyyYR6Q21VydFLVH3TRQUabQu_ym0Zz7PgGX0-kHA/edit?usp=sharing"",""แผน!AH35"")"),0)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IFERROR(__xludf.DUMMYFUNCTION("IMPORTRANGE(""https://docs.google.com/spreadsheets/d/1QqKyyYR6Q21VydFLVH3TRQUabQu_ym0Zz7PgGX0-kHA/edit?usp=sharing"",""แผน!AI35"")"),3)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8000</v>
      </c>
      <c r="O209" s="1004">
        <f ca="1">IF(L209&gt;0,N209*100/L209,0)</f>
        <v>57.142857142857146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IFERROR(__xludf.DUMMYFUNCTION("IMPORTRANGE(""https://docs.google.com/spreadsheets/d/1QqKyyYR6Q21VydFLVH3TRQUabQu_ym0Zz7PgGX0-kHA/edit?usp=sharing"",""แผน!AK35"")"),1000)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IFERROR(__xludf.DUMMYFUNCTION("IMPORTRANGE(""https://docs.google.com/spreadsheets/d/1QqKyyYR6Q21VydFLVH3TRQUabQu_ym0Zz7PgGX0-kHA/edit?usp=sharing"",""แผน!AL35"")"),5000)</f>
        <v>5000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IFERROR(__xludf.DUMMYFUNCTION("IMPORTRANGE(""https://docs.google.com/spreadsheets/d/1QqKyyYR6Q21VydFLVH3TRQUabQu_ym0Zz7PgGX0-kHA/edit?usp=sharing"",""แผน!AM35"")"),8000)</f>
        <v>8000</v>
      </c>
      <c r="M212" s="893"/>
      <c r="N212" s="1096">
        <v>8000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IFERROR(__xludf.DUMMYFUNCTION("IMPORTRANGE(""https://docs.google.com/spreadsheets/d/1QqKyyYR6Q21VydFLVH3TRQUabQu_ym0Zz7PgGX0-kHA/edit?usp=sharing"",""แผน!AN35"")"),1)</f>
        <v>1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IFERROR(__xludf.DUMMYFUNCTION("IMPORTRANGE(""https://docs.google.com/spreadsheets/d/1QqKyyYR6Q21VydFLVH3TRQUabQu_ym0Zz7PgGX0-kHA/edit?usp=sharing"",""แผน!AN35"")"),1)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6500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IFERROR(__xludf.DUMMYFUNCTION("IMPORTRANGE(""https://docs.google.com/spreadsheets/d/1QqKyyYR6Q21VydFLVH3TRQUabQu_ym0Zz7PgGX0-kHA/edit?usp=sharing"",""แผน!AP35"")"),3000)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IFERROR(__xludf.DUMMYFUNCTION("IMPORTRANGE(""https://docs.google.com/spreadsheets/d/1QqKyyYR6Q21VydFLVH3TRQUabQu_ym0Zz7PgGX0-kHA/edit?usp=sharing"",""แผน!AQ35"")"),3500)</f>
        <v>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IFERROR(__xludf.DUMMYFUNCTION("IMPORTRANGE(""https://docs.google.com/spreadsheets/d/1QqKyyYR6Q21VydFLVH3TRQUabQu_ym0Zz7PgGX0-kHA/edit?usp=sharing"",""แผน!AR35"")"),0)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IFERROR(__xludf.DUMMYFUNCTION("IMPORTRANGE(""https://docs.google.com/spreadsheets/d/1QqKyyYR6Q21VydFLVH3TRQUabQu_ym0Zz7PgGX0-kHA/edit?usp=sharing"",""แผน!AT35"")"),10000)</f>
        <v>10000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IFERROR(__xludf.DUMMYFUNCTION("IMPORTRANGE(""https://docs.google.com/spreadsheets/d/1QqKyyYR6Q21VydFLVH3TRQUabQu_ym0Zz7PgGX0-kHA/edit?usp=sharing"",""แผน!AT35"")"),10000)</f>
        <v>10000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IFERROR(__xludf.DUMMYFUNCTION("IMPORTRANGE(""https://docs.google.com/spreadsheets/d/1QqKyyYR6Q21VydFLVH3TRQUabQu_ym0Zz7PgGX0-kHA/edit?usp=sharing"",""แผน!AS35"")"),0)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IFERROR(__xludf.DUMMYFUNCTION("IMPORTRANGE(""https://docs.google.com/spreadsheets/d/1QqKyyYR6Q21VydFLVH3TRQUabQu_ym0Zz7PgGX0-kHA/edit?usp=sharing"",""แผน!AV35"")"),0)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IFERROR(__xludf.DUMMYFUNCTION("IMPORTRANGE(""https://docs.google.com/spreadsheets/d/1QqKyyYR6Q21VydFLVH3TRQUabQu_ym0Zz7PgGX0-kHA/edit?usp=sharing"",""แผน!AW35"")"),0)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IFERROR(__xludf.DUMMYFUNCTION("IMPORTRANGE(""https://docs.google.com/spreadsheets/d/1QqKyyYR6Q21VydFLVH3TRQUabQu_ym0Zz7PgGX0-kHA/edit?usp=sharing"",""แผน!AX35"")"),0)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IFERROR(__xludf.DUMMYFUNCTION("IMPORTRANGE(""https://docs.google.com/spreadsheets/d/1QqKyyYR6Q21VydFLVH3TRQUabQu_ym0Zz7PgGX0-kHA/edit?usp=sharing"",""แผน!AY35"")"),0)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IFERROR(__xludf.DUMMYFUNCTION("IMPORTRANGE(""https://docs.google.com/spreadsheets/d/1QqKyyYR6Q21VydFLVH3TRQUabQu_ym0Zz7PgGX0-kHA/edit?usp=sharing"",""แผน!BE35"")"),0)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IFERROR(__xludf.DUMMYFUNCTION("IMPORTRANGE(""https://docs.google.com/spreadsheets/d/1QqKyyYR6Q21VydFLVH3TRQUabQu_ym0Zz7PgGX0-kHA/edit?usp=sharing"",""แผน!AZ35"")"),0)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IFERROR(__xludf.DUMMYFUNCTION("IMPORTRANGE(""https://docs.google.com/spreadsheets/d/1QqKyyYR6Q21VydFLVH3TRQUabQu_ym0Zz7PgGX0-kHA/edit?usp=sharing"",""แผน!BA35"")"),0)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IFERROR(__xludf.DUMMYFUNCTION("IMPORTRANGE(""https://docs.google.com/spreadsheets/d/1QqKyyYR6Q21VydFLVH3TRQUabQu_ym0Zz7PgGX0-kHA/edit?usp=sharing"",""แผน!BB35"")"),0)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IFERROR(__xludf.DUMMYFUNCTION("IMPORTRANGE(""https://docs.google.com/spreadsheets/d/1QqKyyYR6Q21VydFLVH3TRQUabQu_ym0Zz7PgGX0-kHA/edit?usp=sharing"",""แผน!BC35"")"),0)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IFERROR(__xludf.DUMMYFUNCTION("IMPORTRANGE(""https://docs.google.com/spreadsheets/d/1QqKyyYR6Q21VydFLVH3TRQUabQu_ym0Zz7PgGX0-kHA/edit?usp=sharing"",""แผน!BF35"")"),0)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169900</v>
      </c>
      <c r="M261" s="1004">
        <f t="shared" ca="1" si="116"/>
        <v>127900</v>
      </c>
      <c r="N261" s="1004">
        <f t="shared" ca="1" si="116"/>
        <v>97591.51</v>
      </c>
      <c r="O261" s="1004">
        <f t="shared" ref="O261:O269" ca="1" si="117">IF(L261&gt;0,N261*100/L261,0)</f>
        <v>57.44055915244261</v>
      </c>
      <c r="P261" s="1004">
        <f t="shared" ref="P261:P269" ca="1" si="118">IF(M261&gt;0,N261*100/M261,0)</f>
        <v>76.302978889757625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169900</v>
      </c>
      <c r="M263" s="899">
        <f t="shared" ca="1" si="119"/>
        <v>127900</v>
      </c>
      <c r="N263" s="899">
        <f t="shared" ca="1" si="119"/>
        <v>97591.51</v>
      </c>
      <c r="O263" s="899">
        <f t="shared" ca="1" si="117"/>
        <v>57.44055915244261</v>
      </c>
      <c r="P263" s="899">
        <f t="shared" ca="1" si="118"/>
        <v>76.302978889757625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169900</v>
      </c>
      <c r="M264" s="893">
        <f t="shared" ca="1" si="120"/>
        <v>127900</v>
      </c>
      <c r="N264" s="893">
        <f t="shared" ca="1" si="120"/>
        <v>97591.51</v>
      </c>
      <c r="O264" s="893">
        <f t="shared" ca="1" si="117"/>
        <v>57.44055915244261</v>
      </c>
      <c r="P264" s="893">
        <f t="shared" ca="1" si="118"/>
        <v>76.302978889757625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IFERROR(__xludf.DUMMYFUNCTION("IMPORTRANGE(""https://docs.google.com/spreadsheets/d/1MeEWN-I1oV_STSDYn1IFDPWt_1FKiwhDph83XaGc0o0/edit?usp=sharing"",""งบพรบ!CY35"")"),169900)</f>
        <v>169900</v>
      </c>
      <c r="M266" s="899">
        <f ca="1">IFERROR(__xludf.DUMMYFUNCTION("IMPORTRANGE(""https://docs.google.com/spreadsheets/d/1MeEWN-I1oV_STSDYn1IFDPWt_1FKiwhDph83XaGc0o0/edit?usp=sharing"",""งบพรบ!DD35"")"),127900)</f>
        <v>127900</v>
      </c>
      <c r="N266" s="899">
        <f ca="1">IFERROR(__xludf.DUMMYFUNCTION("IMPORTRANGE(""https://docs.google.com/spreadsheets/d/1MeEWN-I1oV_STSDYn1IFDPWt_1FKiwhDph83XaGc0o0/edit?usp=sharing"",""งบพรบ!DF35"")"),97591.51)</f>
        <v>97591.51</v>
      </c>
      <c r="O266" s="899">
        <f t="shared" ca="1" si="117"/>
        <v>57.44055915244261</v>
      </c>
      <c r="P266" s="899">
        <f t="shared" ca="1" si="118"/>
        <v>76.302978889757625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IFERROR(__xludf.DUMMYFUNCTION("IMPORTRANGE(""https://docs.google.com/spreadsheets/d/1MeEWN-I1oV_STSDYn1IFDPWt_1FKiwhDph83XaGc0o0/edit?usp=sharing"",""งบพรบ!DB35"")"),0)</f>
        <v>0</v>
      </c>
      <c r="M269" s="899">
        <f ca="1">IFERROR(__xludf.DUMMYFUNCTION("IMPORTRANGE(""https://docs.google.com/spreadsheets/d/1MeEWN-I1oV_STSDYn1IFDPWt_1FKiwhDph83XaGc0o0/edit?usp=sharing"",""งบพรบ!DE35"")"),0)</f>
        <v>0</v>
      </c>
      <c r="N269" s="899">
        <f ca="1">IFERROR(__xludf.DUMMYFUNCTION("IMPORTRANGE(""https://docs.google.com/spreadsheets/d/1MeEWN-I1oV_STSDYn1IFDPWt_1FKiwhDph83XaGc0o0/edit?usp=sharing"",""งบพรบ!DG35"")"),0)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IFERROR(__xludf.DUMMYFUNCTION("IMPORTRANGE(""https://docs.google.com/spreadsheets/d/1QqKyyYR6Q21VydFLVH3TRQUabQu_ym0Zz7PgGX0-kHA/edit?usp=sharing"",""แผน!EA35"")"),22)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10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100</v>
      </c>
      <c r="J276" s="1173">
        <f t="shared" si="124"/>
        <v>100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41010</v>
      </c>
      <c r="M277" s="1004">
        <f t="shared" ca="1" si="125"/>
        <v>21950</v>
      </c>
      <c r="N277" s="1004">
        <f t="shared" ca="1" si="125"/>
        <v>11290</v>
      </c>
      <c r="O277" s="1004">
        <f t="shared" ref="O277:O285" ca="1" si="126">IF(L277&gt;0,N277*100/L277,0)</f>
        <v>27.52987076322848</v>
      </c>
      <c r="P277" s="1004">
        <f t="shared" ref="P277:P285" ca="1" si="127">IF(M277&gt;0,N277*100/M277,0)</f>
        <v>51.43507972665148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41010</v>
      </c>
      <c r="M279" s="899">
        <f t="shared" ca="1" si="128"/>
        <v>21950</v>
      </c>
      <c r="N279" s="899">
        <f t="shared" ca="1" si="128"/>
        <v>11290</v>
      </c>
      <c r="O279" s="899">
        <f t="shared" ca="1" si="126"/>
        <v>27.52987076322848</v>
      </c>
      <c r="P279" s="899">
        <f t="shared" ca="1" si="127"/>
        <v>51.43507972665148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41010</v>
      </c>
      <c r="M280" s="893">
        <f t="shared" ca="1" si="129"/>
        <v>21950</v>
      </c>
      <c r="N280" s="893">
        <f t="shared" ca="1" si="129"/>
        <v>11290</v>
      </c>
      <c r="O280" s="893">
        <f t="shared" ca="1" si="126"/>
        <v>27.52987076322848</v>
      </c>
      <c r="P280" s="893">
        <f t="shared" ca="1" si="127"/>
        <v>51.43507972665148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IFERROR(__xludf.DUMMYFUNCTION("IMPORTRANGE(""https://docs.google.com/spreadsheets/d/1MeEWN-I1oV_STSDYn1IFDPWt_1FKiwhDph83XaGc0o0/edit?usp=sharing"",""งบพรบ!DI35"")"),41010)</f>
        <v>41010</v>
      </c>
      <c r="M282" s="899">
        <f ca="1">IFERROR(__xludf.DUMMYFUNCTION("IMPORTRANGE(""https://docs.google.com/spreadsheets/d/1MeEWN-I1oV_STSDYn1IFDPWt_1FKiwhDph83XaGc0o0/edit?usp=sharing"",""งบพรบ!DN35"")"),21950)</f>
        <v>21950</v>
      </c>
      <c r="N282" s="899">
        <f ca="1">IFERROR(__xludf.DUMMYFUNCTION("IMPORTRANGE(""https://docs.google.com/spreadsheets/d/1MeEWN-I1oV_STSDYn1IFDPWt_1FKiwhDph83XaGc0o0/edit?usp=sharing"",""งบพรบ!DP35"")"),11290)</f>
        <v>11290</v>
      </c>
      <c r="O282" s="899">
        <f t="shared" ca="1" si="126"/>
        <v>27.52987076322848</v>
      </c>
      <c r="P282" s="899">
        <f t="shared" ca="1" si="127"/>
        <v>51.43507972665148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IFERROR(__xludf.DUMMYFUNCTION("IMPORTRANGE(""https://docs.google.com/spreadsheets/d/1MeEWN-I1oV_STSDYn1IFDPWt_1FKiwhDph83XaGc0o0/edit?usp=sharing"",""งบพรบ!DL35"")"),0)</f>
        <v>0</v>
      </c>
      <c r="M285" s="899">
        <f ca="1">IFERROR(__xludf.DUMMYFUNCTION("IMPORTRANGE(""https://docs.google.com/spreadsheets/d/1MeEWN-I1oV_STSDYn1IFDPWt_1FKiwhDph83XaGc0o0/edit?usp=sharing"",""งบพรบ!DO35"")"),0)</f>
        <v>0</v>
      </c>
      <c r="N285" s="899">
        <f ca="1">IFERROR(__xludf.DUMMYFUNCTION("IMPORTRANGE(""https://docs.google.com/spreadsheets/d/1MeEWN-I1oV_STSDYn1IFDPWt_1FKiwhDph83XaGc0o0/edit?usp=sharing"",""งบพรบ!DQ35"")"),0)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IFERROR(__xludf.DUMMYFUNCTION("IMPORTRANGE(""https://docs.google.com/spreadsheets/d/1QqKyyYR6Q21VydFLVH3TRQUabQu_ym0Zz7PgGX0-kHA/edit?usp=sharing"",""แผน!EC35"")"),100)</f>
        <v>100</v>
      </c>
      <c r="J287" s="1024">
        <v>100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IFERROR(__xludf.DUMMYFUNCTION("IMPORTRANGE(""https://docs.google.com/spreadsheets/d/1QqKyyYR6Q21VydFLVH3TRQUabQu_ym0Zz7PgGX0-kHA/edit?usp=sharing"",""แผน!EB35"")"),10)</f>
        <v>10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IFERROR(__xludf.DUMMYFUNCTION("IMPORTRANGE(""https://docs.google.com/spreadsheets/d/1QqKyyYR6Q21VydFLVH3TRQUabQu_ym0Zz7PgGX0-kHA/edit?usp=sharing"",""แผน!EB35"")"),10)</f>
        <v>10</v>
      </c>
      <c r="J290" s="1024">
        <v>10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IFERROR(__xludf.DUMMYFUNCTION("IMPORTRANGE(""https://docs.google.com/spreadsheets/d/1QqKyyYR6Q21VydFLVH3TRQUabQu_ym0Zz7PgGX0-kHA/edit?usp=sharing"",""แผน!EB35"")"),10)</f>
        <v>10</v>
      </c>
      <c r="J291" s="1024">
        <v>10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IFERROR(__xludf.DUMMYFUNCTION("IMPORTRANGE(""https://docs.google.com/spreadsheets/d/1QqKyyYR6Q21VydFLVH3TRQUabQu_ym0Zz7PgGX0-kHA/edit?usp=sharing"",""แผน!EB35"")"),10)</f>
        <v>10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IFERROR(__xludf.DUMMYFUNCTION("IMPORTRANGE(""https://docs.google.com/spreadsheets/d/1QqKyyYR6Q21VydFLVH3TRQUabQu_ym0Zz7PgGX0-kHA/edit?usp=sharing"",""แผน!EB35"")"),10)</f>
        <v>10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15</v>
      </c>
      <c r="J297" s="1202">
        <f t="shared" si="134"/>
        <v>15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63800</v>
      </c>
      <c r="M298" s="1004">
        <f t="shared" ca="1" si="135"/>
        <v>50300</v>
      </c>
      <c r="N298" s="1004">
        <f t="shared" ca="1" si="135"/>
        <v>50250</v>
      </c>
      <c r="O298" s="1004">
        <f t="shared" ref="O298:O306" ca="1" si="136">IF(L298&gt;0,N298*100/L298,0)</f>
        <v>78.761755485893417</v>
      </c>
      <c r="P298" s="1004">
        <f t="shared" ref="P298:P306" ca="1" si="137">IF(M298&gt;0,N298*100/M298,0)</f>
        <v>99.900596421471178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63800</v>
      </c>
      <c r="M300" s="899">
        <f t="shared" ca="1" si="138"/>
        <v>50300</v>
      </c>
      <c r="N300" s="899">
        <f t="shared" ca="1" si="138"/>
        <v>50250</v>
      </c>
      <c r="O300" s="899">
        <f t="shared" ca="1" si="136"/>
        <v>78.761755485893417</v>
      </c>
      <c r="P300" s="899">
        <f t="shared" ca="1" si="137"/>
        <v>99.900596421471178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63800</v>
      </c>
      <c r="M301" s="893">
        <f t="shared" ca="1" si="139"/>
        <v>50300</v>
      </c>
      <c r="N301" s="893">
        <f t="shared" ca="1" si="139"/>
        <v>50250</v>
      </c>
      <c r="O301" s="893">
        <f t="shared" ca="1" si="136"/>
        <v>78.761755485893417</v>
      </c>
      <c r="P301" s="893">
        <f t="shared" ca="1" si="137"/>
        <v>99.900596421471178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IFERROR(__xludf.DUMMYFUNCTION("IMPORTRANGE(""https://docs.google.com/spreadsheets/d/1MeEWN-I1oV_STSDYn1IFDPWt_1FKiwhDph83XaGc0o0/edit?usp=sharing"",""งบพรบ!DS35"")"),63800)</f>
        <v>63800</v>
      </c>
      <c r="M303" s="899">
        <f ca="1">IFERROR(__xludf.DUMMYFUNCTION("IMPORTRANGE(""https://docs.google.com/spreadsheets/d/1MeEWN-I1oV_STSDYn1IFDPWt_1FKiwhDph83XaGc0o0/edit?usp=sharing"",""งบพรบ!DX35"")"),50300)</f>
        <v>50300</v>
      </c>
      <c r="N303" s="899">
        <f ca="1">IFERROR(__xludf.DUMMYFUNCTION("IMPORTRANGE(""https://docs.google.com/spreadsheets/d/1MeEWN-I1oV_STSDYn1IFDPWt_1FKiwhDph83XaGc0o0/edit?usp=sharing"",""งบพรบ!DZ35"")"),50250)</f>
        <v>50250</v>
      </c>
      <c r="O303" s="899">
        <f t="shared" ca="1" si="136"/>
        <v>78.761755485893417</v>
      </c>
      <c r="P303" s="899">
        <f t="shared" ca="1" si="137"/>
        <v>99.900596421471178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IFERROR(__xludf.DUMMYFUNCTION("IMPORTRANGE(""https://docs.google.com/spreadsheets/d/1MeEWN-I1oV_STSDYn1IFDPWt_1FKiwhDph83XaGc0o0/edit?usp=sharing"",""งบพรบ!DV35"")"),0)</f>
        <v>0</v>
      </c>
      <c r="M306" s="899">
        <f ca="1">IFERROR(__xludf.DUMMYFUNCTION("IMPORTRANGE(""https://docs.google.com/spreadsheets/d/1MeEWN-I1oV_STSDYn1IFDPWt_1FKiwhDph83XaGc0o0/edit?usp=sharing"",""งบพรบ!DY35"")"),0)</f>
        <v>0</v>
      </c>
      <c r="N306" s="899">
        <f ca="1">IFERROR(__xludf.DUMMYFUNCTION("IMPORTRANGE(""https://docs.google.com/spreadsheets/d/1MeEWN-I1oV_STSDYn1IFDPWt_1FKiwhDph83XaGc0o0/edit?usp=sharing"",""งบพรบ!EA35"")"),0)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IFERROR(__xludf.DUMMYFUNCTION("IMPORTRANGE(""https://docs.google.com/spreadsheets/d/1QqKyyYR6Q21VydFLVH3TRQUabQu_ym0Zz7PgGX0-kHA/edit?usp=sharing"",""แผน!ED35"")"),15)</f>
        <v>15</v>
      </c>
      <c r="J309" s="1024">
        <v>15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IFERROR(__xludf.DUMMYFUNCTION("IMPORTRANGE(""https://docs.google.com/spreadsheets/d/1QqKyyYR6Q21VydFLVH3TRQUabQu_ym0Zz7PgGX0-kHA/edit?usp=sharing"",""แผน!ED35"")"),15)</f>
        <v>15</v>
      </c>
      <c r="J310" s="1024">
        <v>15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IFERROR(__xludf.DUMMYFUNCTION("IMPORTRANGE(""https://docs.google.com/spreadsheets/d/1QqKyyYR6Q21VydFLVH3TRQUabQu_ym0Zz7PgGX0-kHA/edit?usp=sharing"",""แผน!ED35"")"),15)</f>
        <v>15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IFERROR(__xludf.DUMMYFUNCTION("IMPORTRANGE(""https://docs.google.com/spreadsheets/d/1QqKyyYR6Q21VydFLVH3TRQUabQu_ym0Zz7PgGX0-kHA/edit?usp=sharing"",""แผน!EE35"")"),3)</f>
        <v>3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IFERROR(__xludf.DUMMYFUNCTION("IMPORTRANGE(""https://docs.google.com/spreadsheets/d/1MeEWN-I1oV_STSDYn1IFDPWt_1FKiwhDph83XaGc0o0/edit?usp=sharing"",""งบพรบ!EC35"")"),0)</f>
        <v>0</v>
      </c>
      <c r="M320" s="899">
        <f ca="1">IFERROR(__xludf.DUMMYFUNCTION("IMPORTRANGE(""https://docs.google.com/spreadsheets/d/1MeEWN-I1oV_STSDYn1IFDPWt_1FKiwhDph83XaGc0o0/edit?usp=sharing"",""งบพรบ!EH35"")"),0)</f>
        <v>0</v>
      </c>
      <c r="N320" s="899">
        <f ca="1">IFERROR(__xludf.DUMMYFUNCTION("IMPORTRANGE(""https://docs.google.com/spreadsheets/d/1MeEWN-I1oV_STSDYn1IFDPWt_1FKiwhDph83XaGc0o0/edit?usp=sharing"",""งบพรบ!EJ35"")"),0)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IFERROR(__xludf.DUMMYFUNCTION("IMPORTRANGE(""https://docs.google.com/spreadsheets/d/1MeEWN-I1oV_STSDYn1IFDPWt_1FKiwhDph83XaGc0o0/edit?usp=sharing"",""งบพรบ!EF35"")"),0)</f>
        <v>0</v>
      </c>
      <c r="M323" s="899">
        <f ca="1">IFERROR(__xludf.DUMMYFUNCTION("IMPORTRANGE(""https://docs.google.com/spreadsheets/d/1MeEWN-I1oV_STSDYn1IFDPWt_1FKiwhDph83XaGc0o0/edit?usp=sharing"",""งบพรบ!EI35"")"),0)</f>
        <v>0</v>
      </c>
      <c r="N323" s="899">
        <f ca="1">IFERROR(__xludf.DUMMYFUNCTION("IMPORTRANGE(""https://docs.google.com/spreadsheets/d/1MeEWN-I1oV_STSDYn1IFDPWt_1FKiwhDph83XaGc0o0/edit?usp=sharing"",""งบพรบ!EK35"")"),0)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IFERROR(__xludf.DUMMYFUNCTION("IMPORTRANGE(""https://docs.google.com/spreadsheets/d/1QqKyyYR6Q21VydFLVH3TRQUabQu_ym0Zz7PgGX0-kHA/edit?usp=sharing"",""แผน!EF35"")"),0)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IFERROR(__xludf.DUMMYFUNCTION("IMPORTRANGE(""https://docs.google.com/spreadsheets/d/1QqKyyYR6Q21VydFLVH3TRQUabQu_ym0Zz7PgGX0-kHA/edit?usp=sharing"",""แผน!EG35"")"),1300)</f>
        <v>1300</v>
      </c>
      <c r="J327" s="1202">
        <f ca="1">J338+J341+J342+J343</f>
        <v>1101</v>
      </c>
      <c r="K327" s="1203">
        <f ca="1">IF(I327&gt;0,J327*100/I327,0)</f>
        <v>84.692307692307693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170000</v>
      </c>
      <c r="M328" s="1004">
        <f t="shared" ca="1" si="149"/>
        <v>130000</v>
      </c>
      <c r="N328" s="1004">
        <f t="shared" ca="1" si="149"/>
        <v>61478.57</v>
      </c>
      <c r="O328" s="1004">
        <f t="shared" ref="O328:O336" ca="1" si="150">IF(L328&gt;0,N328*100/L328,0)</f>
        <v>36.163864705882354</v>
      </c>
      <c r="P328" s="1004">
        <f t="shared" ref="P328:P336" ca="1" si="151">IF(M328&gt;0,N328*100/M328,0)</f>
        <v>47.291207692307694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170000</v>
      </c>
      <c r="M330" s="899">
        <f t="shared" ca="1" si="152"/>
        <v>130000</v>
      </c>
      <c r="N330" s="899">
        <f t="shared" ca="1" si="152"/>
        <v>61478.57</v>
      </c>
      <c r="O330" s="899">
        <f t="shared" ca="1" si="150"/>
        <v>36.163864705882354</v>
      </c>
      <c r="P330" s="899">
        <f t="shared" ca="1" si="151"/>
        <v>47.291207692307694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170000</v>
      </c>
      <c r="M331" s="893">
        <f t="shared" ca="1" si="153"/>
        <v>130000</v>
      </c>
      <c r="N331" s="893">
        <f t="shared" ca="1" si="153"/>
        <v>61478.57</v>
      </c>
      <c r="O331" s="893">
        <f t="shared" ca="1" si="150"/>
        <v>36.163864705882354</v>
      </c>
      <c r="P331" s="893">
        <f t="shared" ca="1" si="151"/>
        <v>47.291207692307694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IFERROR(__xludf.DUMMYFUNCTION("IMPORTRANGE(""https://docs.google.com/spreadsheets/d/1MeEWN-I1oV_STSDYn1IFDPWt_1FKiwhDph83XaGc0o0/edit?usp=sharing"",""งบพรบ!EM35"")"),170000)</f>
        <v>170000</v>
      </c>
      <c r="M333" s="899">
        <f ca="1">IFERROR(__xludf.DUMMYFUNCTION("IMPORTRANGE(""https://docs.google.com/spreadsheets/d/1MeEWN-I1oV_STSDYn1IFDPWt_1FKiwhDph83XaGc0o0/edit?usp=sharing"",""งบพรบ!ER35"")"),130000)</f>
        <v>130000</v>
      </c>
      <c r="N333" s="899">
        <f ca="1">IFERROR(__xludf.DUMMYFUNCTION("IMPORTRANGE(""https://docs.google.com/spreadsheets/d/1MeEWN-I1oV_STSDYn1IFDPWt_1FKiwhDph83XaGc0o0/edit?usp=sharing"",""งบพรบ!ET35"")"),61478.57)</f>
        <v>61478.57</v>
      </c>
      <c r="O333" s="899">
        <f t="shared" ca="1" si="150"/>
        <v>36.163864705882354</v>
      </c>
      <c r="P333" s="899">
        <f t="shared" ca="1" si="151"/>
        <v>47.291207692307694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IFERROR(__xludf.DUMMYFUNCTION("IMPORTRANGE(""https://docs.google.com/spreadsheets/d/1MeEWN-I1oV_STSDYn1IFDPWt_1FKiwhDph83XaGc0o0/edit?usp=sharing"",""งบพรบ!EP35"")"),0)</f>
        <v>0</v>
      </c>
      <c r="M336" s="899">
        <f ca="1">IFERROR(__xludf.DUMMYFUNCTION("IMPORTRANGE(""https://docs.google.com/spreadsheets/d/1MeEWN-I1oV_STSDYn1IFDPWt_1FKiwhDph83XaGc0o0/edit?usp=sharing"",""งบพรบ!ES35"")"),0)</f>
        <v>0</v>
      </c>
      <c r="N336" s="899">
        <f ca="1">IFERROR(__xludf.DUMMYFUNCTION("IMPORTRANGE(""https://docs.google.com/spreadsheets/d/1MeEWN-I1oV_STSDYn1IFDPWt_1FKiwhDph83XaGc0o0/edit?usp=sharing"",""งบพรบ!EU35"")"),0)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IFERROR(__xludf.DUMMYFUNCTION("IMPORTRANGE(""https://docs.google.com/spreadsheets/d/1QqKyyYR6Q21VydFLVH3TRQUabQu_ym0Zz7PgGX0-kHA/edit?usp=sharing"",""แผน!EG35"")"),1300)</f>
        <v>1300</v>
      </c>
      <c r="J338" s="892">
        <f ca="1">IFERROR(__xludf.DUMMYFUNCTION("IMPORTRANGE(""https://docs.google.com/spreadsheets/d/1kVcqe37tkHyjCSG3S0O1AXqVkqjo8mSIZil3BcpIysc/edit?usp=sharing"",""ศูนย์!D35"")"),983)</f>
        <v>983</v>
      </c>
      <c r="K338" s="893">
        <f ca="1">IF(I338&gt;0,J338*100/I338,0)</f>
        <v>75.615384615384613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IFERROR(__xludf.DUMMYFUNCTION("IMPORTRANGE(""https://docs.google.com/spreadsheets/d/1QqKyyYR6Q21VydFLVH3TRQUabQu_ym0Zz7PgGX0-kHA/edit?usp=sharing"",""แผน!EH35"")"),6)</f>
        <v>6</v>
      </c>
      <c r="J340" s="892">
        <f ca="1">IFERROR(__xludf.DUMMYFUNCTION("IMPORTRANGE(""https://docs.google.com/spreadsheets/d/1kVcqe37tkHyjCSG3S0O1AXqVkqjo8mSIZil3BcpIysc/edit?usp=sharing"",""ศูนย์!E35"")"),2)</f>
        <v>2</v>
      </c>
      <c r="K340" s="893">
        <f ca="1">IF(I340&gt;0,J340*100/I340,0)</f>
        <v>33.333333333333336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IFERROR(__xludf.DUMMYFUNCTION("IMPORTRANGE(""https://docs.google.com/spreadsheets/d/1kVcqe37tkHyjCSG3S0O1AXqVkqjo8mSIZil3BcpIysc/edit?usp=sharing"",""ศูนย์!F35"")"),118)</f>
        <v>118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IFERROR(__xludf.DUMMYFUNCTION("IMPORTRANGE(""https://docs.google.com/spreadsheets/d/1kVcqe37tkHyjCSG3S0O1AXqVkqjo8mSIZil3BcpIysc/edit?usp=sharing"",""ศูนย์!G35"")"),0)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IFERROR(__xludf.DUMMYFUNCTION("IMPORTRANGE(""https://docs.google.com/spreadsheets/d/1kVcqe37tkHyjCSG3S0O1AXqVkqjo8mSIZil3BcpIysc/edit?usp=sharing"",""ศูนย์!H35"")"),0)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752470</v>
      </c>
      <c r="M345" s="1004">
        <f t="shared" ca="1" si="155"/>
        <v>637560</v>
      </c>
      <c r="N345" s="1004">
        <f t="shared" ca="1" si="155"/>
        <v>410106.16</v>
      </c>
      <c r="O345" s="1004">
        <f t="shared" ref="O345:O353" ca="1" si="156">IF(L345&gt;0,N345*100/L345,0)</f>
        <v>54.501330285592779</v>
      </c>
      <c r="P345" s="1004">
        <f t="shared" ref="P345:P353" ca="1" si="157">IF(M345&gt;0,N345*100/M345,0)</f>
        <v>64.324323985193544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752470</v>
      </c>
      <c r="M347" s="899">
        <f t="shared" ca="1" si="158"/>
        <v>637560</v>
      </c>
      <c r="N347" s="899">
        <f t="shared" ca="1" si="158"/>
        <v>410106.16</v>
      </c>
      <c r="O347" s="899">
        <f t="shared" ca="1" si="156"/>
        <v>54.501330285592779</v>
      </c>
      <c r="P347" s="899">
        <f t="shared" ca="1" si="157"/>
        <v>64.324323985193544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616870</v>
      </c>
      <c r="M348" s="893">
        <f t="shared" ca="1" si="159"/>
        <v>506160</v>
      </c>
      <c r="N348" s="893">
        <f t="shared" ca="1" si="159"/>
        <v>278706.15999999997</v>
      </c>
      <c r="O348" s="893">
        <f t="shared" ca="1" si="156"/>
        <v>45.180696094801171</v>
      </c>
      <c r="P348" s="893">
        <f t="shared" ca="1" si="157"/>
        <v>55.062857594436537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IFERROR(__xludf.DUMMYFUNCTION("IMPORTRANGE(""https://docs.google.com/spreadsheets/d/1MeEWN-I1oV_STSDYn1IFDPWt_1FKiwhDph83XaGc0o0/edit?usp=sharing"",""งบพรบ!EW35"")"),616870)</f>
        <v>616870</v>
      </c>
      <c r="M350" s="899">
        <f ca="1">IFERROR(__xludf.DUMMYFUNCTION("IMPORTRANGE(""https://docs.google.com/spreadsheets/d/1MeEWN-I1oV_STSDYn1IFDPWt_1FKiwhDph83XaGc0o0/edit?usp=sharing"",""งบพรบ!FB35"")"),506160)</f>
        <v>506160</v>
      </c>
      <c r="N350" s="899">
        <f ca="1">IFERROR(__xludf.DUMMYFUNCTION("IMPORTRANGE(""https://docs.google.com/spreadsheets/d/1MeEWN-I1oV_STSDYn1IFDPWt_1FKiwhDph83XaGc0o0/edit?usp=sharing"",""งบพรบ!FD35"")"),278706.16)</f>
        <v>278706.15999999997</v>
      </c>
      <c r="O350" s="899">
        <f t="shared" ca="1" si="156"/>
        <v>45.180696094801171</v>
      </c>
      <c r="P350" s="899">
        <f t="shared" ca="1" si="157"/>
        <v>55.062857594436537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135600</v>
      </c>
      <c r="M351" s="893">
        <f t="shared" ca="1" si="160"/>
        <v>131400</v>
      </c>
      <c r="N351" s="893">
        <f t="shared" ca="1" si="160"/>
        <v>131400</v>
      </c>
      <c r="O351" s="893">
        <f t="shared" ca="1" si="156"/>
        <v>96.902654867256643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IFERROR(__xludf.DUMMYFUNCTION("IMPORTRANGE(""https://docs.google.com/spreadsheets/d/1MeEWN-I1oV_STSDYn1IFDPWt_1FKiwhDph83XaGc0o0/edit?usp=sharing"",""งบพรบ!EZ35"")"),135600)</f>
        <v>135600</v>
      </c>
      <c r="M353" s="899">
        <f ca="1">IFERROR(__xludf.DUMMYFUNCTION("IMPORTRANGE(""https://docs.google.com/spreadsheets/d/1MeEWN-I1oV_STSDYn1IFDPWt_1FKiwhDph83XaGc0o0/edit?usp=sharing"",""งบพรบ!FC35"")"),131400)</f>
        <v>131400</v>
      </c>
      <c r="N353" s="899">
        <f ca="1">IFERROR(__xludf.DUMMYFUNCTION("IMPORTRANGE(""https://docs.google.com/spreadsheets/d/1MeEWN-I1oV_STSDYn1IFDPWt_1FKiwhDph83XaGc0o0/edit?usp=sharing"",""งบพรบ!FE35"")"),131400)</f>
        <v>131400</v>
      </c>
      <c r="O353" s="899">
        <f t="shared" ca="1" si="156"/>
        <v>96.902654867256643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IFERROR(__xludf.DUMMYFUNCTION("IMPORTRANGE(""https://docs.google.com/spreadsheets/d/1QqKyyYR6Q21VydFLVH3TRQUabQu_ym0Zz7PgGX0-kHA/edit?usp=sharing"",""แผน!EP35"")"),230)</f>
        <v>230</v>
      </c>
      <c r="J355" s="1218">
        <f ca="1">J362</f>
        <v>197</v>
      </c>
      <c r="K355" s="1219">
        <f ca="1">IF(I355&gt;0,J355*100/I355,0)</f>
        <v>85.652173913043484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IFERROR(__xludf.DUMMYFUNCTION("IMPORTRANGE(""https://docs.google.com/spreadsheets/d/1XWAQStnk-4SwqDmLtmXYiTMKHgktTP8We1SCoS47DrQ/edit?usp=sharing"",""จัดที่ดิน!W35"")"),193)</f>
        <v>193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IFERROR(__xludf.DUMMYFUNCTION("IMPORTRANGE(""https://docs.google.com/spreadsheets/d/1QqKyyYR6Q21VydFLVH3TRQUabQu_ym0Zz7PgGX0-kHA/edit?usp=sharing"",""แผน!EO35"")"),2300)</f>
        <v>2300</v>
      </c>
      <c r="J359" s="892">
        <f ca="1">IFERROR(__xludf.DUMMYFUNCTION("IMPORTRANGE(""https://docs.google.com/spreadsheets/d/1XWAQStnk-4SwqDmLtmXYiTMKHgktTP8We1SCoS47DrQ/edit?usp=sharing"",""จัดที่ดิน!X35"")"),1884.35)</f>
        <v>1884.35</v>
      </c>
      <c r="K359" s="893">
        <f t="shared" ca="1" si="161"/>
        <v>81.928260869565221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IFERROR(__xludf.DUMMYFUNCTION("IMPORTRANGE(""https://docs.google.com/spreadsheets/d/1QqKyyYR6Q21VydFLVH3TRQUabQu_ym0Zz7PgGX0-kHA/edit?usp=sharing"",""แผน!EP35"")"),230)</f>
        <v>230</v>
      </c>
      <c r="J360" s="892">
        <f ca="1">IFERROR(__xludf.DUMMYFUNCTION("IMPORTRANGE(""https://docs.google.com/spreadsheets/d/1XWAQStnk-4SwqDmLtmXYiTMKHgktTP8We1SCoS47DrQ/edit?usp=sharing"",""จัดที่ดิน!Y35"")"),197)</f>
        <v>197</v>
      </c>
      <c r="K360" s="893">
        <f t="shared" ca="1" si="161"/>
        <v>85.652173913043484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IFERROR(__xludf.DUMMYFUNCTION("IMPORTRANGE(""https://docs.google.com/spreadsheets/d/1XWAQStnk-4SwqDmLtmXYiTMKHgktTP8We1SCoS47DrQ/edit?usp=sharing"",""จัดที่ดิน!Z35"")"),1915.61)</f>
        <v>1915.61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IFERROR(__xludf.DUMMYFUNCTION("IMPORTRANGE(""https://docs.google.com/spreadsheets/d/1QqKyyYR6Q21VydFLVH3TRQUabQu_ym0Zz7PgGX0-kHA/edit?usp=sharing"",""แผน!EP35"")"),230)</f>
        <v>230</v>
      </c>
      <c r="J362" s="892">
        <f ca="1">IFERROR(__xludf.DUMMYFUNCTION("IMPORTRANGE(""https://docs.google.com/spreadsheets/d/1XWAQStnk-4SwqDmLtmXYiTMKHgktTP8We1SCoS47DrQ/edit?usp=sharing"",""จัดที่ดิน!AA35"")"),197)</f>
        <v>197</v>
      </c>
      <c r="K362" s="893">
        <f t="shared" ca="1" si="161"/>
        <v>85.652173913043484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IFERROR(__xludf.DUMMYFUNCTION("IMPORTRANGE(""https://docs.google.com/spreadsheets/d/1XWAQStnk-4SwqDmLtmXYiTMKHgktTP8We1SCoS47DrQ/edit?usp=sharing"",""จัดที่ดิน!AB35"")"),1915.61)</f>
        <v>1915.61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430</v>
      </c>
      <c r="J364" s="1231">
        <f t="shared" ca="1" si="162"/>
        <v>460</v>
      </c>
      <c r="K364" s="1232">
        <f t="shared" ca="1" si="161"/>
        <v>106.97674418604652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IFERROR(__xludf.DUMMYFUNCTION("IMPORTRANGE(""https://docs.google.com/spreadsheets/d/1QqKyyYR6Q21VydFLVH3TRQUabQu_ym0Zz7PgGX0-kHA/edit?usp=sharing"",""แผน!EJ35"")"),30)</f>
        <v>30</v>
      </c>
      <c r="J365" s="1239">
        <f ca="1">J372</f>
        <v>37</v>
      </c>
      <c r="K365" s="1240">
        <f t="shared" ca="1" si="161"/>
        <v>123.33333333333333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IFERROR(__xludf.DUMMYFUNCTION("IMPORTRANGE(""https://docs.google.com/spreadsheets/d/1XWAQStnk-4SwqDmLtmXYiTMKHgktTP8We1SCoS47DrQ/edit?usp=sharing"",""จัดที่ดิน!E35"")"),33)</f>
        <v>33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IFERROR(__xludf.DUMMYFUNCTION("IMPORTRANGE(""https://docs.google.com/spreadsheets/d/1QqKyyYR6Q21VydFLVH3TRQUabQu_ym0Zz7PgGX0-kHA/edit?usp=sharing"",""แผน!EI35"")"),300)</f>
        <v>300</v>
      </c>
      <c r="J369" s="892">
        <f ca="1">IFERROR(__xludf.DUMMYFUNCTION("IMPORTRANGE(""https://docs.google.com/spreadsheets/d/1XWAQStnk-4SwqDmLtmXYiTMKHgktTP8We1SCoS47DrQ/edit?usp=sharing"",""จัดที่ดิน!F35"")"),306.01)</f>
        <v>306.01</v>
      </c>
      <c r="K369" s="893">
        <f t="shared" ca="1" si="163"/>
        <v>102.00333333333333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IFERROR(__xludf.DUMMYFUNCTION("IMPORTRANGE(""https://docs.google.com/spreadsheets/d/1QqKyyYR6Q21VydFLVH3TRQUabQu_ym0Zz7PgGX0-kHA/edit?usp=sharing"",""แผน!EJ35"")"),30)</f>
        <v>30</v>
      </c>
      <c r="J370" s="892">
        <f ca="1">IFERROR(__xludf.DUMMYFUNCTION("IMPORTRANGE(""https://docs.google.com/spreadsheets/d/1XWAQStnk-4SwqDmLtmXYiTMKHgktTP8We1SCoS47DrQ/edit?usp=sharing"",""จัดที่ดิน!G35"")"),37)</f>
        <v>37</v>
      </c>
      <c r="K370" s="893">
        <f t="shared" ca="1" si="163"/>
        <v>123.33333333333333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IFERROR(__xludf.DUMMYFUNCTION("IMPORTRANGE(""https://docs.google.com/spreadsheets/d/1XWAQStnk-4SwqDmLtmXYiTMKHgktTP8We1SCoS47DrQ/edit?usp=sharing"",""จัดที่ดิน!H35"")"),335.71)</f>
        <v>335.71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IFERROR(__xludf.DUMMYFUNCTION("IMPORTRANGE(""https://docs.google.com/spreadsheets/d/1QqKyyYR6Q21VydFLVH3TRQUabQu_ym0Zz7PgGX0-kHA/edit?usp=sharing"",""แผน!EJ35"")"),30)</f>
        <v>30</v>
      </c>
      <c r="J372" s="892">
        <f ca="1">IFERROR(__xludf.DUMMYFUNCTION("IMPORTRANGE(""https://docs.google.com/spreadsheets/d/1XWAQStnk-4SwqDmLtmXYiTMKHgktTP8We1SCoS47DrQ/edit?usp=sharing"",""จัดที่ดิน!I35"")"),37)</f>
        <v>37</v>
      </c>
      <c r="K372" s="893">
        <f t="shared" ca="1" si="163"/>
        <v>123.33333333333333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IFERROR(__xludf.DUMMYFUNCTION("IMPORTRANGE(""https://docs.google.com/spreadsheets/d/1XWAQStnk-4SwqDmLtmXYiTMKHgktTP8We1SCoS47DrQ/edit?usp=sharing"",""จัดที่ดิน!J35"")"),335.71)</f>
        <v>335.71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IFERROR(__xludf.DUMMYFUNCTION("IMPORTRANGE(""https://docs.google.com/spreadsheets/d/1QqKyyYR6Q21VydFLVH3TRQUabQu_ym0Zz7PgGX0-kHA/edit?usp=sharing"",""แผน!EU35"")"),400)</f>
        <v>400</v>
      </c>
      <c r="J374" s="1239">
        <f ca="1">J381</f>
        <v>423</v>
      </c>
      <c r="K374" s="1240">
        <f t="shared" ca="1" si="163"/>
        <v>105.75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IFERROR(__xludf.DUMMYFUNCTION("IMPORTRANGE(""https://docs.google.com/spreadsheets/d/1XWAQStnk-4SwqDmLtmXYiTMKHgktTP8We1SCoS47DrQ/edit?usp=sharing"",""จัดที่ดิน!AH35"")"),160)</f>
        <v>160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IFERROR(__xludf.DUMMYFUNCTION("IMPORTRANGE(""https://docs.google.com/spreadsheets/d/1QqKyyYR6Q21VydFLVH3TRQUabQu_ym0Zz7PgGX0-kHA/edit?usp=sharing"",""แผน!ET35"")"),2000)</f>
        <v>2000</v>
      </c>
      <c r="J378" s="892">
        <f ca="1">IFERROR(__xludf.DUMMYFUNCTION("IMPORTRANGE(""https://docs.google.com/spreadsheets/d/1XWAQStnk-4SwqDmLtmXYiTMKHgktTP8We1SCoS47DrQ/edit?usp=sharing"",""จัดที่ดิน!AI35"")"),1578.34)</f>
        <v>1578.34</v>
      </c>
      <c r="K378" s="893">
        <f t="shared" ca="1" si="164"/>
        <v>78.917000000000002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IFERROR(__xludf.DUMMYFUNCTION("IMPORTRANGE(""https://docs.google.com/spreadsheets/d/1QqKyyYR6Q21VydFLVH3TRQUabQu_ym0Zz7PgGX0-kHA/edit?usp=sharing"",""แผน!EU35"")"),400)</f>
        <v>400</v>
      </c>
      <c r="J379" s="892">
        <f ca="1">IFERROR(__xludf.DUMMYFUNCTION("IMPORTRANGE(""https://docs.google.com/spreadsheets/d/1XWAQStnk-4SwqDmLtmXYiTMKHgktTP8We1SCoS47DrQ/edit?usp=sharing"",""จัดที่ดิน!AJ35"")"),423)</f>
        <v>423</v>
      </c>
      <c r="K379" s="893">
        <f t="shared" ca="1" si="164"/>
        <v>105.75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IFERROR(__xludf.DUMMYFUNCTION("IMPORTRANGE(""https://docs.google.com/spreadsheets/d/1XWAQStnk-4SwqDmLtmXYiTMKHgktTP8We1SCoS47DrQ/edit?usp=sharing"",""จัดที่ดิน!AK35"")"),5043.84)</f>
        <v>5043.84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IFERROR(__xludf.DUMMYFUNCTION("IMPORTRANGE(""https://docs.google.com/spreadsheets/d/1QqKyyYR6Q21VydFLVH3TRQUabQu_ym0Zz7PgGX0-kHA/edit?usp=sharing"",""แผน!EU35"")"),400)</f>
        <v>400</v>
      </c>
      <c r="J381" s="892">
        <f ca="1">IFERROR(__xludf.DUMMYFUNCTION("IMPORTRANGE(""https://docs.google.com/spreadsheets/d/1XWAQStnk-4SwqDmLtmXYiTMKHgktTP8We1SCoS47DrQ/edit?usp=sharing"",""จัดที่ดิน!AL35"")"),423)</f>
        <v>423</v>
      </c>
      <c r="K381" s="893">
        <f t="shared" ca="1" si="164"/>
        <v>105.75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IFERROR(__xludf.DUMMYFUNCTION("IMPORTRANGE(""https://docs.google.com/spreadsheets/d/1XWAQStnk-4SwqDmLtmXYiTMKHgktTP8We1SCoS47DrQ/edit?usp=sharing"",""จัดที่ดิน!AM35"")"),5014.44)</f>
        <v>5014.4399999999996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IFERROR(__xludf.DUMMYFUNCTION("IMPORTRANGE(""https://docs.google.com/spreadsheets/d/1QqKyyYR6Q21VydFLVH3TRQUabQu_ym0Zz7PgGX0-kHA/edit?usp=sharing"",""แผน!EW35"")"),30)</f>
        <v>30</v>
      </c>
      <c r="J385" s="1149">
        <f ca="1">IFERROR(__xludf.DUMMYFUNCTION("IMPORTRANGE(""https://docs.google.com/spreadsheets/d/1XWAQStnk-4SwqDmLtmXYiTMKHgktTP8We1SCoS47DrQ/edit?usp=sharing"",""จัดที่ดิน!AP35"")"),35)</f>
        <v>35</v>
      </c>
      <c r="K385" s="1251">
        <f ca="1">IF(I385&gt;0,J385*100/I385,0)</f>
        <v>116.66666666666667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IFERROR(__xludf.DUMMYFUNCTION("IMPORTRANGE(""https://docs.google.com/spreadsheets/d/1MeEWN-I1oV_STSDYn1IFDPWt_1FKiwhDph83XaGc0o0/edit?usp=sharing"",""งบพรบ!FG35"")"),0)</f>
        <v>0</v>
      </c>
      <c r="M394" s="899">
        <f ca="1">IFERROR(__xludf.DUMMYFUNCTION("IMPORTRANGE(""https://docs.google.com/spreadsheets/d/1MeEWN-I1oV_STSDYn1IFDPWt_1FKiwhDph83XaGc0o0/edit?usp=sharing"",""งบพรบ!FL35"")"),0)</f>
        <v>0</v>
      </c>
      <c r="N394" s="899">
        <f ca="1">IFERROR(__xludf.DUMMYFUNCTION("IMPORTRANGE(""https://docs.google.com/spreadsheets/d/1MeEWN-I1oV_STSDYn1IFDPWt_1FKiwhDph83XaGc0o0/edit?usp=sharing"",""งบพรบ!FN35"")"),0)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IFERROR(__xludf.DUMMYFUNCTION("IMPORTRANGE(""https://docs.google.com/spreadsheets/d/1MeEWN-I1oV_STSDYn1IFDPWt_1FKiwhDph83XaGc0o0/edit?usp=sharing"",""งบพรบ!FJ35"")"),0)</f>
        <v>0</v>
      </c>
      <c r="M397" s="899">
        <f ca="1">IFERROR(__xludf.DUMMYFUNCTION("IMPORTRANGE(""https://docs.google.com/spreadsheets/d/1MeEWN-I1oV_STSDYn1IFDPWt_1FKiwhDph83XaGc0o0/edit?usp=sharing"",""งบพรบ!FM35"")"),0)</f>
        <v>0</v>
      </c>
      <c r="N397" s="899">
        <f ca="1">IFERROR(__xludf.DUMMYFUNCTION("IMPORTRANGE(""https://docs.google.com/spreadsheets/d/1MeEWN-I1oV_STSDYn1IFDPWt_1FKiwhDph83XaGc0o0/edit?usp=sharing"",""งบพรบ!FO35"")"),0)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IFERROR(__xludf.DUMMYFUNCTION("IMPORTRANGE(""https://docs.google.com/spreadsheets/d/1MeEWN-I1oV_STSDYn1IFDPWt_1FKiwhDph83XaGc0o0/edit?usp=sharing"",""งบพรบ!FQ35"")"),0)</f>
        <v>0</v>
      </c>
      <c r="M407" s="899">
        <f ca="1">IFERROR(__xludf.DUMMYFUNCTION("IMPORTRANGE(""https://docs.google.com/spreadsheets/d/1MeEWN-I1oV_STSDYn1IFDPWt_1FKiwhDph83XaGc0o0/edit?usp=sharing"",""งบพรบ!FV35"")"),0)</f>
        <v>0</v>
      </c>
      <c r="N407" s="899">
        <f ca="1">IFERROR(__xludf.DUMMYFUNCTION("IMPORTRANGE(""https://docs.google.com/spreadsheets/d/1MeEWN-I1oV_STSDYn1IFDPWt_1FKiwhDph83XaGc0o0/edit?usp=sharing"",""งบพรบ!FX35"")"),0)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IFERROR(__xludf.DUMMYFUNCTION("IMPORTRANGE(""https://docs.google.com/spreadsheets/d/1MeEWN-I1oV_STSDYn1IFDPWt_1FKiwhDph83XaGc0o0/edit?usp=sharing"",""งบพรบ!FT35"")"),0)</f>
        <v>0</v>
      </c>
      <c r="M410" s="899">
        <f ca="1">IFERROR(__xludf.DUMMYFUNCTION("IMPORTRANGE(""https://docs.google.com/spreadsheets/d/1MeEWN-I1oV_STSDYn1IFDPWt_1FKiwhDph83XaGc0o0/edit?usp=sharing"",""งบพรบ!FW35"")"),0)</f>
        <v>0</v>
      </c>
      <c r="N410" s="899">
        <f ca="1">IFERROR(__xludf.DUMMYFUNCTION("IMPORTRANGE(""https://docs.google.com/spreadsheets/d/1MeEWN-I1oV_STSDYn1IFDPWt_1FKiwhDph83XaGc0o0/edit?usp=sharing"",""งบพรบ!FY35"")"),0)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2041444</v>
      </c>
      <c r="M414" s="1293">
        <f t="shared" ca="1" si="181"/>
        <v>2041444</v>
      </c>
      <c r="N414" s="1293">
        <f t="shared" si="181"/>
        <v>595203.37</v>
      </c>
      <c r="O414" s="1293">
        <f ca="1">IF(L414&gt;0,N414*100/L414,0)</f>
        <v>29.155997911282405</v>
      </c>
      <c r="P414" s="1293">
        <f ca="1">IF(M414&gt;0,N414*100/M414,0)</f>
        <v>29.155997911282405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104060</v>
      </c>
      <c r="M419" s="1004">
        <f t="shared" ca="1" si="184"/>
        <v>104060</v>
      </c>
      <c r="N419" s="1004">
        <f t="shared" si="184"/>
        <v>76405</v>
      </c>
      <c r="O419" s="1004">
        <f t="shared" ref="O419:O424" ca="1" si="185">IF(L419&gt;0,N419*100/L419,0)</f>
        <v>73.423986161829717</v>
      </c>
      <c r="P419" s="1004">
        <f t="shared" ref="P419:P424" ca="1" si="186">IF(M419&gt;0,N419*100/M419,0)</f>
        <v>73.423986161829717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104060</v>
      </c>
      <c r="M421" s="899">
        <f t="shared" ca="1" si="187"/>
        <v>104060</v>
      </c>
      <c r="N421" s="899">
        <f t="shared" si="187"/>
        <v>76405</v>
      </c>
      <c r="O421" s="899">
        <f t="shared" ca="1" si="185"/>
        <v>73.423986161829717</v>
      </c>
      <c r="P421" s="899">
        <f t="shared" ca="1" si="186"/>
        <v>73.423986161829717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104060</v>
      </c>
      <c r="M422" s="893">
        <f t="shared" ca="1" si="188"/>
        <v>104060</v>
      </c>
      <c r="N422" s="893">
        <f t="shared" si="188"/>
        <v>76405</v>
      </c>
      <c r="O422" s="893">
        <f t="shared" ca="1" si="185"/>
        <v>73.423986161829717</v>
      </c>
      <c r="P422" s="893">
        <f t="shared" ca="1" si="186"/>
        <v>73.423986161829717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IFERROR(__xludf.DUMMYFUNCTION("IMPORTRANGE(""https://docs.google.com/spreadsheets/d/1QqKyyYR6Q21VydFLVH3TRQUabQu_ym0Zz7PgGX0-kHA/edit?usp=sharing"",""แผน!EY35"")"),104060)</f>
        <v>104060</v>
      </c>
      <c r="M424" s="899">
        <f ca="1">L424</f>
        <v>104060</v>
      </c>
      <c r="N424" s="899">
        <f>N425+N426+N427+N428</f>
        <v>76405</v>
      </c>
      <c r="O424" s="899">
        <f t="shared" ca="1" si="185"/>
        <v>73.423986161829717</v>
      </c>
      <c r="P424" s="899">
        <f t="shared" ca="1" si="186"/>
        <v>73.423986161829717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39965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36440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IFERROR(__xludf.DUMMYFUNCTION("IMPORTRANGE(""https://docs.google.com/spreadsheets/d/1QqKyyYR6Q21VydFLVH3TRQUabQu_ym0Zz7PgGX0-kHA/edit?usp=sharing"",""แผน!FB35"")"),0)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IFERROR(__xludf.DUMMYFUNCTION("IMPORTRANGE(""https://docs.google.com/spreadsheets/d/1QqKyyYR6Q21VydFLVH3TRQUabQu_ym0Zz7PgGX0-kHA/edit?usp=sharing"",""แผน!FE35"")"),0)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IFERROR(__xludf.DUMMYFUNCTION("IMPORTRANGE(""https://docs.google.com/spreadsheets/d/1QqKyyYR6Q21VydFLVH3TRQUabQu_ym0Zz7PgGX0-kHA/edit?usp=sharing"",""แผน!FG35"")"),1)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IFERROR(__xludf.DUMMYFUNCTION("IMPORTRANGE(""https://docs.google.com/spreadsheets/d/1QqKyyYR6Q21VydFLVH3TRQUabQu_ym0Zz7PgGX0-kHA/edit?usp=sharing"",""แผน!FH35"")"),0)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40</v>
      </c>
      <c r="J442" s="1322">
        <f t="shared" si="195"/>
        <v>40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80</v>
      </c>
      <c r="J443" s="1306">
        <f t="shared" si="196"/>
        <v>80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312680</v>
      </c>
      <c r="M444" s="1032">
        <f t="shared" ca="1" si="197"/>
        <v>312680</v>
      </c>
      <c r="N444" s="1032">
        <f t="shared" si="197"/>
        <v>108690.65</v>
      </c>
      <c r="O444" s="1032">
        <f t="shared" ref="O444:O449" ca="1" si="198">IF(L444&gt;0,N444*100/L444,0)</f>
        <v>34.760985672252779</v>
      </c>
      <c r="P444" s="1032">
        <f t="shared" ref="P444:P449" ca="1" si="199">IF(M444&gt;0,N444*100/M444,0)</f>
        <v>34.760985672252779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312680</v>
      </c>
      <c r="M446" s="899">
        <f t="shared" ca="1" si="200"/>
        <v>312680</v>
      </c>
      <c r="N446" s="899">
        <f t="shared" si="200"/>
        <v>108690.65</v>
      </c>
      <c r="O446" s="899">
        <f t="shared" ca="1" si="198"/>
        <v>34.760985672252779</v>
      </c>
      <c r="P446" s="899">
        <f t="shared" ca="1" si="199"/>
        <v>34.760985672252779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312680</v>
      </c>
      <c r="M447" s="893">
        <f t="shared" ca="1" si="201"/>
        <v>312680</v>
      </c>
      <c r="N447" s="893">
        <f t="shared" si="201"/>
        <v>108690.65</v>
      </c>
      <c r="O447" s="893">
        <f t="shared" ca="1" si="198"/>
        <v>34.760985672252779</v>
      </c>
      <c r="P447" s="893">
        <f t="shared" ca="1" si="199"/>
        <v>34.760985672252779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IFERROR(__xludf.DUMMYFUNCTION("IMPORTRANGE(""https://docs.google.com/spreadsheets/d/1QqKyyYR6Q21VydFLVH3TRQUabQu_ym0Zz7PgGX0-kHA/edit?usp=sharing"",""แผน!FJ35"")"),312680)</f>
        <v>312680</v>
      </c>
      <c r="M449" s="899">
        <f ca="1">L449</f>
        <v>312680</v>
      </c>
      <c r="N449" s="899">
        <f>N450+N451+N452+N453</f>
        <v>108690.65</v>
      </c>
      <c r="O449" s="899">
        <f t="shared" ca="1" si="198"/>
        <v>34.760985672252779</v>
      </c>
      <c r="P449" s="899">
        <f t="shared" ca="1" si="199"/>
        <v>34.760985672252779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20010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24100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64580.65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IFERROR(__xludf.DUMMYFUNCTION("IMPORTRANGE(""https://docs.google.com/spreadsheets/d/1QqKyyYR6Q21VydFLVH3TRQUabQu_ym0Zz7PgGX0-kHA/edit?usp=sharing"",""แผน!FM35"")"),0)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IFERROR(__xludf.DUMMYFUNCTION("IMPORTRANGE(""https://docs.google.com/spreadsheets/d/1QqKyyYR6Q21VydFLVH3TRQUabQu_ym0Zz7PgGX0-kHA/edit?usp=sharing"",""แผน!FN35"")"),40)</f>
        <v>40</v>
      </c>
      <c r="J460" s="1024">
        <v>40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IFERROR(__xludf.DUMMYFUNCTION("IMPORTRANGE(""https://docs.google.com/spreadsheets/d/1QqKyyYR6Q21VydFLVH3TRQUabQu_ym0Zz7PgGX0-kHA/edit?usp=sharing"",""แผน!FO35"")"),80)</f>
        <v>80</v>
      </c>
      <c r="J462" s="1024">
        <v>80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IFERROR(__xludf.DUMMYFUNCTION("IMPORTRANGE(""https://docs.google.com/spreadsheets/d/1QqKyyYR6Q21VydFLVH3TRQUabQu_ym0Zz7PgGX0-kHA/edit?usp=sharing"",""แผน!FO35"")"),80)</f>
        <v>80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IFERROR(__xludf.DUMMYFUNCTION("IMPORTRANGE(""https://docs.google.com/spreadsheets/d/1QqKyyYR6Q21VydFLVH3TRQUabQu_ym0Zz7PgGX0-kHA/edit?usp=sharing"",""แผน!FN35"")"),40)</f>
        <v>40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IFERROR(__xludf.DUMMYFUNCTION("IMPORTRANGE(""https://docs.google.com/spreadsheets/d/1QqKyyYR6Q21VydFLVH3TRQUabQu_ym0Zz7PgGX0-kHA/edit?usp=sharing"",""แผน!FX35"")"),131)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IFERROR(__xludf.DUMMYFUNCTION("IMPORTRANGE(""https://docs.google.com/spreadsheets/d/1QqKyyYR6Q21VydFLVH3TRQUabQu_ym0Zz7PgGX0-kHA/edit?usp=sharing"",""แผน!FW35"")"),1300)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1173398</v>
      </c>
      <c r="M467" s="1032">
        <f t="shared" ca="1" si="206"/>
        <v>1173398</v>
      </c>
      <c r="N467" s="1032">
        <f t="shared" si="206"/>
        <v>252505</v>
      </c>
      <c r="O467" s="1032">
        <f t="shared" ref="O467:O472" ca="1" si="207">IF(L467&gt;0,N467*100/L467,0)</f>
        <v>21.519126502687069</v>
      </c>
      <c r="P467" s="1032">
        <f t="shared" ref="P467:P472" ca="1" si="208">IF(M467&gt;0,N467*100/M467,0)</f>
        <v>21.519126502687069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1173398</v>
      </c>
      <c r="M469" s="899">
        <f t="shared" ca="1" si="209"/>
        <v>1173398</v>
      </c>
      <c r="N469" s="899">
        <f t="shared" si="209"/>
        <v>252505</v>
      </c>
      <c r="O469" s="899">
        <f t="shared" ca="1" si="207"/>
        <v>21.519126502687069</v>
      </c>
      <c r="P469" s="899">
        <f t="shared" ca="1" si="208"/>
        <v>21.519126502687069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1173398</v>
      </c>
      <c r="M470" s="893">
        <f t="shared" ca="1" si="210"/>
        <v>1173398</v>
      </c>
      <c r="N470" s="893">
        <f t="shared" si="210"/>
        <v>252505</v>
      </c>
      <c r="O470" s="893">
        <f t="shared" ca="1" si="207"/>
        <v>21.519126502687069</v>
      </c>
      <c r="P470" s="893">
        <f t="shared" ca="1" si="208"/>
        <v>21.519126502687069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IFERROR(__xludf.DUMMYFUNCTION("IMPORTRANGE(""https://docs.google.com/spreadsheets/d/1QqKyyYR6Q21VydFLVH3TRQUabQu_ym0Zz7PgGX0-kHA/edit?usp=sharing"",""แผน!FS35"")"),1173398)</f>
        <v>1173398</v>
      </c>
      <c r="M472" s="899">
        <f ca="1">L472</f>
        <v>1173398</v>
      </c>
      <c r="N472" s="899">
        <f>N473+N474+N475+N476</f>
        <v>252505</v>
      </c>
      <c r="O472" s="899">
        <f t="shared" ca="1" si="207"/>
        <v>21.519126502687069</v>
      </c>
      <c r="P472" s="899">
        <f t="shared" ca="1" si="208"/>
        <v>21.519126502687069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162485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4000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21020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IFERROR(__xludf.DUMMYFUNCTION("IMPORTRANGE(""https://docs.google.com/spreadsheets/d/1QqKyyYR6Q21VydFLVH3TRQUabQu_ym0Zz7PgGX0-kHA/edit?usp=sharing"",""แผน!FV35"")"),0)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IFERROR(__xludf.DUMMYFUNCTION("IMPORTRANGE(""https://docs.google.com/spreadsheets/d/1QqKyyYR6Q21VydFLVH3TRQUabQu_ym0Zz7PgGX0-kHA/edit?usp=sharing"",""แผน!FY35"")"),1170)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126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IFERROR(__xludf.DUMMYFUNCTION("IMPORTRANGE(""https://docs.google.com/spreadsheets/d/1QqKyyYR6Q21VydFLVH3TRQUabQu_ym0Zz7PgGX0-kHA/edit?usp=sharing"",""แผน!FZ35"")"),117)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IFERROR(__xludf.DUMMYFUNCTION("IMPORTRANGE(""https://docs.google.com/spreadsheets/d/1QqKyyYR6Q21VydFLVH3TRQUabQu_ym0Zz7PgGX0-kHA/edit?usp=sharing"",""แผน!GA35"")"),130)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13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IFERROR(__xludf.DUMMYFUNCTION("IMPORTRANGE(""https://docs.google.com/spreadsheets/d/1QqKyyYR6Q21VydFLVH3TRQUabQu_ym0Zz7PgGX0-kHA/edit?usp=sharing"",""แผน!GB35"")"),13)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IFERROR(__xludf.DUMMYFUNCTION("IMPORTRANGE(""https://docs.google.com/spreadsheets/d/1QqKyyYR6Q21VydFLVH3TRQUabQu_ym0Zz7PgGX0-kHA/edit?usp=sharing"",""แผน!GC35"")"),1)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IFERROR(__xludf.DUMMYFUNCTION("IMPORTRANGE(""https://docs.google.com/spreadsheets/d/1QqKyyYR6Q21VydFLVH3TRQUabQu_ym0Zz7PgGX0-kHA/edit?usp=sharing"",""แผน!FY35"")"),1170)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IFERROR(__xludf.DUMMYFUNCTION("IMPORTRANGE(""https://docs.google.com/spreadsheets/d/1QqKyyYR6Q21VydFLVH3TRQUabQu_ym0Zz7PgGX0-kHA/edit?usp=sharing"",""แผน!GA35"")"),130)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IFERROR(__xludf.DUMMYFUNCTION("IMPORTRANGE(""https://docs.google.com/spreadsheets/d/1QqKyyYR6Q21VydFLVH3TRQUabQu_ym0Zz7PgGX0-kHA/edit?usp=sharing"",""แผน!GQ35"")"),0)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IFERROR(__xludf.DUMMYFUNCTION("IMPORTRANGE(""https://docs.google.com/spreadsheets/d/1QqKyyYR6Q21VydFLVH3TRQUabQu_ym0Zz7PgGX0-kHA/edit?usp=sharing"",""แผน!GT35"")"),0)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IFERROR(__xludf.DUMMYFUNCTION("IMPORTRANGE(""https://docs.google.com/spreadsheets/d/1QqKyyYR6Q21VydFLVH3TRQUabQu_ym0Zz7PgGX0-kHA/edit?usp=sharing"",""แผน!GU35"")"),0)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IFERROR(__xludf.DUMMYFUNCTION("IMPORTRANGE(""https://docs.google.com/spreadsheets/d/1QqKyyYR6Q21VydFLVH3TRQUabQu_ym0Zz7PgGX0-kHA/edit?usp=sharing"",""แผน!GV35"")"),0)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IFERROR(__xludf.DUMMYFUNCTION("IMPORTRANGE(""https://docs.google.com/spreadsheets/d/1QqKyyYR6Q21VydFLVH3TRQUabQu_ym0Zz7PgGX0-kHA/edit?usp=sharing"",""แผน!GW35"")"),0)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IFERROR(__xludf.DUMMYFUNCTION("IMPORTRANGE(""https://docs.google.com/spreadsheets/d/1QqKyyYR6Q21VydFLVH3TRQUabQu_ym0Zz7PgGX0-kHA/edit?usp=sharing"",""แผน!GX35"")"),0)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IFERROR(__xludf.DUMMYFUNCTION("IMPORTRANGE(""https://docs.google.com/spreadsheets/d/1QqKyyYR6Q21VydFLVH3TRQUabQu_ym0Zz7PgGX0-kHA/edit?usp=sharing"",""แผน!GY35"")"),0)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IFERROR(__xludf.DUMMYFUNCTION("IMPORTRANGE(""https://docs.google.com/spreadsheets/d/1QqKyyYR6Q21VydFLVH3TRQUabQu_ym0Zz7PgGX0-kHA/edit?usp=sharing"",""แผน!GZ35"")"),0)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71012</v>
      </c>
      <c r="J543" s="1396">
        <f t="shared" si="235"/>
        <v>48908</v>
      </c>
      <c r="K543" s="1397">
        <f t="shared" ca="1" si="234"/>
        <v>68.87286655776488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432306</v>
      </c>
      <c r="M544" s="1004">
        <f t="shared" ca="1" si="236"/>
        <v>432306</v>
      </c>
      <c r="N544" s="1004">
        <f t="shared" si="236"/>
        <v>149793.72</v>
      </c>
      <c r="O544" s="1004">
        <f t="shared" ref="O544:O549" ca="1" si="237">IF(L544&gt;0,N544*100/L544,0)</f>
        <v>34.649928522851866</v>
      </c>
      <c r="P544" s="1004">
        <f t="shared" ref="P544:P549" ca="1" si="238">IF(M544&gt;0,N544*100/M544,0)</f>
        <v>34.649928522851866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432306</v>
      </c>
      <c r="M546" s="899">
        <f t="shared" ca="1" si="240"/>
        <v>432306</v>
      </c>
      <c r="N546" s="899">
        <f t="shared" si="240"/>
        <v>149793.72</v>
      </c>
      <c r="O546" s="899">
        <f t="shared" ca="1" si="237"/>
        <v>34.649928522851866</v>
      </c>
      <c r="P546" s="899">
        <f t="shared" ca="1" si="238"/>
        <v>34.649928522851866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432306</v>
      </c>
      <c r="M547" s="893">
        <f t="shared" ca="1" si="241"/>
        <v>432306</v>
      </c>
      <c r="N547" s="893">
        <f t="shared" si="241"/>
        <v>149793.72</v>
      </c>
      <c r="O547" s="893">
        <f t="shared" ca="1" si="237"/>
        <v>34.649928522851866</v>
      </c>
      <c r="P547" s="893">
        <f t="shared" ca="1" si="238"/>
        <v>34.649928522851866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IFERROR(__xludf.DUMMYFUNCTION("IMPORTRANGE(""https://docs.google.com/spreadsheets/d/1QqKyyYR6Q21VydFLVH3TRQUabQu_ym0Zz7PgGX0-kHA/edit?usp=sharing"",""แผน!HB35"")"),432306)</f>
        <v>432306</v>
      </c>
      <c r="M549" s="899">
        <f ca="1">L549</f>
        <v>432306</v>
      </c>
      <c r="N549" s="899">
        <f>N550+N551+N552+N553+N554</f>
        <v>149793.72</v>
      </c>
      <c r="O549" s="899">
        <f t="shared" ca="1" si="237"/>
        <v>34.649928522851866</v>
      </c>
      <c r="P549" s="899">
        <f t="shared" ca="1" si="238"/>
        <v>34.649928522851866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84793.72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IFERROR(__xludf.DUMMYFUNCTION("IMPORTRANGE(""https://docs.google.com/spreadsheets/d/1QqKyyYR6Q21VydFLVH3TRQUabQu_ym0Zz7PgGX0-kHA/edit?usp=sharing"",""แผน!HF35"")"),0)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71012</v>
      </c>
      <c r="J559" s="1389">
        <f t="shared" si="245"/>
        <v>48908</v>
      </c>
      <c r="K559" s="1390">
        <f t="shared" ref="K559:K561" ca="1" si="246">IF(I559&gt;0,J559*100/I559,0)</f>
        <v>68.87286655776488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IFERROR(__xludf.DUMMYFUNCTION("IMPORTRANGE(""https://docs.google.com/spreadsheets/d/1QqKyyYR6Q21VydFLVH3TRQUabQu_ym0Zz7PgGX0-kHA/edit?usp=sharing"",""แผน!HH35"")"),71012)</f>
        <v>71012</v>
      </c>
      <c r="J560" s="1030">
        <f t="shared" ref="J560:J561" si="247">J562+J564+J566</f>
        <v>71012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IFERROR(__xludf.DUMMYFUNCTION("IMPORTRANGE(""https://docs.google.com/spreadsheets/d/1QqKyyYR6Q21VydFLVH3TRQUabQu_ym0Zz7PgGX0-kHA/edit?usp=sharing"",""แผน!HG35"")"),6571)</f>
        <v>6571</v>
      </c>
      <c r="J561" s="1030">
        <f t="shared" si="247"/>
        <v>6571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48908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5078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19333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1311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2771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182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IFERROR(__xludf.DUMMYFUNCTION("IMPORTRANGE(""https://docs.google.com/spreadsheets/d/1QqKyyYR6Q21VydFLVH3TRQUabQu_ym0Zz7PgGX0-kHA/edit?usp=sharing"",""แผน!HH35"")"),71012)</f>
        <v>71012</v>
      </c>
      <c r="J568" s="1031">
        <f t="shared" ref="J568:J569" si="248">J570+J572+J574</f>
        <v>71012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IFERROR(__xludf.DUMMYFUNCTION("IMPORTRANGE(""https://docs.google.com/spreadsheets/d/1QqKyyYR6Q21VydFLVH3TRQUabQu_ym0Zz7PgGX0-kHA/edit?usp=sharing"",""แผน!HG35"")"),6571)</f>
        <v>6571</v>
      </c>
      <c r="J569" s="1031">
        <f t="shared" si="248"/>
        <v>6571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48908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5078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19333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1311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2771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182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IFERROR(__xludf.DUMMYFUNCTION("IMPORTRANGE(""https://docs.google.com/spreadsheets/d/1QqKyyYR6Q21VydFLVH3TRQUabQu_ym0Zz7PgGX0-kHA/edit?usp=sharing"",""แผน!HH35"")"),71012)</f>
        <v>71012</v>
      </c>
      <c r="J576" s="1031">
        <f t="shared" ref="J576:J577" si="250">J578+J580+J582+J588+J590</f>
        <v>48908</v>
      </c>
      <c r="K576" s="1174">
        <f t="shared" ref="K576:K577" ca="1" si="251">IF(I576&gt;0,J576*100/I576,0)</f>
        <v>68.87286655776488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IFERROR(__xludf.DUMMYFUNCTION("IMPORTRANGE(""https://docs.google.com/spreadsheets/d/1QqKyyYR6Q21VydFLVH3TRQUabQu_ym0Zz7PgGX0-kHA/edit?usp=sharing"",""แผน!HG35"")"),6571)</f>
        <v>6571</v>
      </c>
      <c r="J577" s="1031">
        <f t="shared" si="250"/>
        <v>5078</v>
      </c>
      <c r="K577" s="1174">
        <f t="shared" ca="1" si="251"/>
        <v>77.278952975194031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48908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5078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3008.54</v>
      </c>
      <c r="J592" s="1389">
        <f t="shared" si="253"/>
        <v>1917</v>
      </c>
      <c r="K592" s="1390">
        <f t="shared" ref="K592:K594" ca="1" si="254">IF(I592&gt;0,J592*100/I592,0)</f>
        <v>63.718614344499329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IFERROR(__xludf.DUMMYFUNCTION("IMPORTRANGE(""https://docs.google.com/spreadsheets/d/1QqKyyYR6Q21VydFLVH3TRQUabQu_ym0Zz7PgGX0-kHA/edit?usp=sharing"",""แผน!HJ35"")"),3008.54)</f>
        <v>3008.54</v>
      </c>
      <c r="J593" s="1030">
        <f t="shared" ref="J593:J594" si="255">J595+J603+J609</f>
        <v>1917</v>
      </c>
      <c r="K593" s="1174">
        <f t="shared" ca="1" si="254"/>
        <v>63.718614344499329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IFERROR(__xludf.DUMMYFUNCTION("IMPORTRANGE(""https://docs.google.com/spreadsheets/d/1QqKyyYR6Q21VydFLVH3TRQUabQu_ym0Zz7PgGX0-kHA/edit?usp=sharing"",""แผน!HI35"")"),222)</f>
        <v>222</v>
      </c>
      <c r="J594" s="1030">
        <f t="shared" si="255"/>
        <v>153</v>
      </c>
      <c r="K594" s="1174">
        <f t="shared" ca="1" si="254"/>
        <v>68.918918918918919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1774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143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1771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142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3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1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143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10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143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10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IFERROR(__xludf.DUMMYFUNCTION("IMPORTRANGE(""https://docs.google.com/spreadsheets/d/1QqKyyYR6Q21VydFLVH3TRQUabQu_ym0Zz7PgGX0-kHA/edit?usp=sharing"",""แผน!HL35"")"),79)</f>
        <v>79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IFERROR(__xludf.DUMMYFUNCTION("IMPORTRANGE(""https://docs.google.com/spreadsheets/d/1QqKyyYR6Q21VydFLVH3TRQUabQu_ym0Zz7PgGX0-kHA/edit?usp=sharing"",""แผน!HK35"")"),4)</f>
        <v>4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 hidden="1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0</v>
      </c>
      <c r="J628" s="1438">
        <f t="shared" ca="1" si="262"/>
        <v>0</v>
      </c>
      <c r="K628" s="1439">
        <f ca="1">IF(I628&gt;0,J628*100/I628,0)</f>
        <v>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 hidden="1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0</v>
      </c>
      <c r="M629" s="1032">
        <f t="shared" si="263"/>
        <v>0</v>
      </c>
      <c r="N629" s="1032">
        <f t="shared" si="263"/>
        <v>0</v>
      </c>
      <c r="O629" s="1032">
        <f t="shared" ref="O629:O634" ca="1" si="264">IF(L629&gt;0,N629*100/L629,0)</f>
        <v>0</v>
      </c>
      <c r="P629" s="1032">
        <f t="shared" ref="P629:P634" si="265">IF(M629&gt;0,N629*100/M629,0)</f>
        <v>0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0</v>
      </c>
      <c r="M631" s="899">
        <f t="shared" si="266"/>
        <v>0</v>
      </c>
      <c r="N631" s="899">
        <f t="shared" si="266"/>
        <v>0</v>
      </c>
      <c r="O631" s="899">
        <f t="shared" ca="1" si="264"/>
        <v>0</v>
      </c>
      <c r="P631" s="899">
        <f t="shared" si="265"/>
        <v>0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 hidden="1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0</v>
      </c>
      <c r="M632" s="893">
        <f t="shared" si="267"/>
        <v>0</v>
      </c>
      <c r="N632" s="893">
        <f t="shared" si="267"/>
        <v>0</v>
      </c>
      <c r="O632" s="893">
        <f t="shared" ca="1" si="264"/>
        <v>0</v>
      </c>
      <c r="P632" s="893">
        <f t="shared" si="265"/>
        <v>0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IFERROR(__xludf.DUMMYFUNCTION("IMPORTRANGE(""https://docs.google.com/spreadsheets/d/1QqKyyYR6Q21VydFLVH3TRQUabQu_ym0Zz7PgGX0-kHA/edit?usp=sharing"",""แผน!HN35"")"),0)</f>
        <v>0</v>
      </c>
      <c r="M634" s="899">
        <v>0</v>
      </c>
      <c r="N634" s="899">
        <f>N635+N636+N637+N638</f>
        <v>0</v>
      </c>
      <c r="O634" s="899">
        <f t="shared" ca="1" si="264"/>
        <v>0</v>
      </c>
      <c r="P634" s="899">
        <f t="shared" si="265"/>
        <v>0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 hidden="1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 hidden="1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 hidden="1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 hidden="1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0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 hidden="1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IFERROR(__xludf.DUMMYFUNCTION("IMPORTRANGE(""https://docs.google.com/spreadsheets/d/1QqKyyYR6Q21VydFLVH3TRQUabQu_ym0Zz7PgGX0-kHA/edit?usp=sharing"",""แผน!HQ35"")"),0)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 hidden="1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 hidden="1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IFERROR(__xludf.DUMMYFUNCTION("IMPORTRANGE(""https://docs.google.com/spreadsheets/d/1QqKyyYR6Q21VydFLVH3TRQUabQu_ym0Zz7PgGX0-kHA/edit?usp=sharing"",""แผน!HR35"")"),0)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 hidden="1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IFERROR(__xludf.DUMMYFUNCTION("IMPORTRANGE(""https://docs.google.com/spreadsheets/d/1QqKyyYR6Q21VydFLVH3TRQUabQu_ym0Zz7PgGX0-kHA/edit?usp=sharing"",""แผน!HR35"")"),0)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 hidden="1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IFERROR(__xludf.DUMMYFUNCTION("IMPORTRANGE(""https://docs.google.com/spreadsheets/d/1XWAQStnk-4SwqDmLtmXYiTMKHgktTP8We1SCoS47DrQ/edit?usp=sharing"",""จัดที่ดิน!AS35"")"),0)</f>
        <v>0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 hidden="1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IFERROR(__xludf.DUMMYFUNCTION("IMPORTRANGE(""https://docs.google.com/spreadsheets/d/1XWAQStnk-4SwqDmLtmXYiTMKHgktTP8We1SCoS47DrQ/edit?usp=sharing"",""จัดที่ดิน!AT35"")"),0)</f>
        <v>0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 hidden="1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IFERROR(__xludf.DUMMYFUNCTION("IMPORTRANGE(""https://docs.google.com/spreadsheets/d/1QqKyyYR6Q21VydFLVH3TRQUabQu_ym0Zz7PgGX0-kHA/edit?usp=sharing"",""แผน!HS35"")"),0)</f>
        <v>0</v>
      </c>
      <c r="J647" s="892">
        <f ca="1">IFERROR(__xludf.DUMMYFUNCTION("IMPORTRANGE(""https://docs.google.com/spreadsheets/d/1XWAQStnk-4SwqDmLtmXYiTMKHgktTP8We1SCoS47DrQ/edit?usp=sharing"",""จัดที่ดิน!AU35"")"),0)</f>
        <v>0</v>
      </c>
      <c r="K647" s="1010">
        <f t="shared" ca="1" si="271"/>
        <v>0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 hidden="1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IFERROR(__xludf.DUMMYFUNCTION("IMPORTRANGE(""https://docs.google.com/spreadsheets/d/1XWAQStnk-4SwqDmLtmXYiTMKHgktTP8We1SCoS47DrQ/edit?usp=sharing"",""จัดที่ดิน!AV35"")"),0)</f>
        <v>0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 hidden="1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IFERROR(__xludf.DUMMYFUNCTION("IMPORTRANGE(""https://docs.google.com/spreadsheets/d/1QqKyyYR6Q21VydFLVH3TRQUabQu_ym0Zz7PgGX0-kHA/edit?usp=sharing"",""แผน!HS35"")"),0)</f>
        <v>0</v>
      </c>
      <c r="J649" s="892">
        <f ca="1">IFERROR(__xludf.DUMMYFUNCTION("IMPORTRANGE(""https://docs.google.com/spreadsheets/d/1XWAQStnk-4SwqDmLtmXYiTMKHgktTP8We1SCoS47DrQ/edit?usp=sharing"",""จัดที่ดิน!AW35"")"),0)</f>
        <v>0</v>
      </c>
      <c r="K649" s="1010">
        <f t="shared" ca="1" si="271"/>
        <v>0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 hidden="1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IFERROR(__xludf.DUMMYFUNCTION("IMPORTRANGE(""https://docs.google.com/spreadsheets/d/1XWAQStnk-4SwqDmLtmXYiTMKHgktTP8We1SCoS47DrQ/edit?usp=sharing"",""จัดที่ดิน!AX35"")"),0)</f>
        <v>0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 hidden="1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IFERROR(__xludf.DUMMYFUNCTION("IMPORTRANGE(""https://docs.google.com/spreadsheets/d/1QqKyyYR6Q21VydFLVH3TRQUabQu_ym0Zz7PgGX0-kHA/edit?usp=sharing"",""แผน!HS35"")"),0)</f>
        <v>0</v>
      </c>
      <c r="J651" s="892">
        <f ca="1">IFERROR(__xludf.DUMMYFUNCTION("IMPORTRANGE(""https://docs.google.com/spreadsheets/d/1XWAQStnk-4SwqDmLtmXYiTMKHgktTP8We1SCoS47DrQ/edit?usp=sharing"",""จัดที่ดิน!AY35"")"),0)</f>
        <v>0</v>
      </c>
      <c r="K651" s="1010">
        <f t="shared" ca="1" si="271"/>
        <v>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 hidden="1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IFERROR(__xludf.DUMMYFUNCTION("IMPORTRANGE(""https://docs.google.com/spreadsheets/d/1XWAQStnk-4SwqDmLtmXYiTMKHgktTP8We1SCoS47DrQ/edit?usp=sharing"",""จัดที่ดิน!AZ35"")"),0)</f>
        <v>0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50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11000</v>
      </c>
      <c r="M655" s="1032">
        <f t="shared" ca="1" si="273"/>
        <v>11000</v>
      </c>
      <c r="N655" s="1032">
        <f t="shared" si="273"/>
        <v>6809</v>
      </c>
      <c r="O655" s="1032">
        <f t="shared" ref="O655:O660" ca="1" si="274">IF(L655&gt;0,N655*100/L655,0)</f>
        <v>61.9</v>
      </c>
      <c r="P655" s="1032">
        <f t="shared" ref="P655:P660" ca="1" si="275">IF(M655&gt;0,N655*100/M655,0)</f>
        <v>61.9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11000</v>
      </c>
      <c r="M657" s="899">
        <f t="shared" ca="1" si="276"/>
        <v>11000</v>
      </c>
      <c r="N657" s="899">
        <f t="shared" si="276"/>
        <v>6809</v>
      </c>
      <c r="O657" s="899">
        <f t="shared" ca="1" si="274"/>
        <v>61.9</v>
      </c>
      <c r="P657" s="899">
        <f t="shared" ca="1" si="275"/>
        <v>61.9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11000</v>
      </c>
      <c r="M658" s="893">
        <f t="shared" ca="1" si="277"/>
        <v>11000</v>
      </c>
      <c r="N658" s="893">
        <f t="shared" si="277"/>
        <v>6809</v>
      </c>
      <c r="O658" s="893">
        <f t="shared" ca="1" si="274"/>
        <v>61.9</v>
      </c>
      <c r="P658" s="893">
        <f t="shared" ca="1" si="275"/>
        <v>61.9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IFERROR(__xludf.DUMMYFUNCTION("IMPORTRANGE(""https://docs.google.com/spreadsheets/d/1QqKyyYR6Q21VydFLVH3TRQUabQu_ym0Zz7PgGX0-kHA/edit?usp=sharing"",""แผน!HV35"")"),11000)</f>
        <v>11000</v>
      </c>
      <c r="M660" s="899">
        <f ca="1">L660</f>
        <v>11000</v>
      </c>
      <c r="N660" s="899">
        <f>N661+N662+N663+N664</f>
        <v>6809</v>
      </c>
      <c r="O660" s="899">
        <f t="shared" ca="1" si="274"/>
        <v>61.9</v>
      </c>
      <c r="P660" s="899">
        <f t="shared" ca="1" si="275"/>
        <v>61.9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6809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IFERROR(__xludf.DUMMYFUNCTION("IMPORTRANGE(""https://docs.google.com/spreadsheets/d/1QqKyyYR6Q21VydFLVH3TRQUabQu_ym0Zz7PgGX0-kHA/edit?usp=sharing"",""แผน!IA35"")"),50)</f>
        <v>50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IFERROR(__xludf.DUMMYFUNCTION("IMPORTRANGE(""https://docs.google.com/spreadsheets/d/1QqKyyYR6Q21VydFLVH3TRQUabQu_ym0Zz7PgGX0-kHA/edit?usp=sharing"",""แผน!HZ35"")"),5)</f>
        <v>5</v>
      </c>
      <c r="J670" s="1024">
        <v>5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IFERROR(__xludf.DUMMYFUNCTION("IMPORTRANGE(""https://docs.google.com/spreadsheets/d/1QqKyyYR6Q21VydFLVH3TRQUabQu_ym0Zz7PgGX0-kHA/edit?usp=sharing"",""แผน!HZ35"")"),5)</f>
        <v>5</v>
      </c>
      <c r="J671" s="1024">
        <v>5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34</v>
      </c>
      <c r="K672" s="893">
        <f t="shared" ref="K672:K675" ca="1" si="281">IF(I$669&gt;0,J672*100/I$669,0)</f>
        <v>68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34</v>
      </c>
      <c r="K673" s="893">
        <f t="shared" ca="1" si="281"/>
        <v>68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IFERROR(__xludf.DUMMYFUNCTION("IMPORTRANGE(""https://docs.google.com/spreadsheets/d/1QqKyyYR6Q21VydFLVH3TRQUabQu_ym0Zz7PgGX0-kHA/edit?usp=sharing"",""แผน!IB35"")"),0)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8000</v>
      </c>
      <c r="M685" s="1032">
        <f t="shared" ca="1" si="282"/>
        <v>8000</v>
      </c>
      <c r="N685" s="1032">
        <f t="shared" si="282"/>
        <v>1000</v>
      </c>
      <c r="O685" s="1032">
        <f t="shared" ref="O685:O688" ca="1" si="283">IF(L685&gt;0,N685*100/L685,0)</f>
        <v>12.5</v>
      </c>
      <c r="P685" s="1032">
        <f t="shared" ref="P685:P688" ca="1" si="284">IF(M685&gt;0,N685*100/M685,0)</f>
        <v>12.5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8000</v>
      </c>
      <c r="M687" s="899">
        <f t="shared" ca="1" si="285"/>
        <v>8000</v>
      </c>
      <c r="N687" s="899">
        <f t="shared" si="285"/>
        <v>1000</v>
      </c>
      <c r="O687" s="899">
        <f t="shared" ca="1" si="283"/>
        <v>12.5</v>
      </c>
      <c r="P687" s="899">
        <f t="shared" ca="1" si="284"/>
        <v>12.5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8000</v>
      </c>
      <c r="M688" s="893">
        <f t="shared" ca="1" si="286"/>
        <v>8000</v>
      </c>
      <c r="N688" s="893">
        <f t="shared" si="286"/>
        <v>1000</v>
      </c>
      <c r="O688" s="893">
        <f t="shared" ca="1" si="283"/>
        <v>12.5</v>
      </c>
      <c r="P688" s="893">
        <f t="shared" ca="1" si="284"/>
        <v>12.5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IFERROR(__xludf.DUMMYFUNCTION("IMPORTRANGE(""https://docs.google.com/spreadsheets/d/1QqKyyYR6Q21VydFLVH3TRQUabQu_ym0Zz7PgGX0-kHA/edit?usp=sharing"",""แผน!HW35"")"),8000)</f>
        <v>8000</v>
      </c>
      <c r="M690" s="899">
        <f ca="1">L690</f>
        <v>8000</v>
      </c>
      <c r="N690" s="899">
        <f>N691+N692+N693+N694</f>
        <v>1000</v>
      </c>
      <c r="O690" s="899">
        <f ca="1">IF(L690&gt;0,N690*100/L690,0)</f>
        <v>12.5</v>
      </c>
      <c r="P690" s="899">
        <f ca="1">IF(M690&gt;0,N690*100/M690,0)</f>
        <v>12.5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1000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IFERROR(__xludf.DUMMYFUNCTION("IMPORTRANGE(""https://docs.google.com/spreadsheets/d/1QqKyyYR6Q21VydFLVH3TRQUabQu_ym0Zz7PgGX0-kHA/edit?usp=sharing"",""แผน!IC35"")"),70)</f>
        <v>70</v>
      </c>
      <c r="J699" s="892">
        <f ca="1">IFERROR(__xludf.DUMMYFUNCTION("IMPORTRANGE(""https://docs.google.com/spreadsheets/d/1XWAQStnk-4SwqDmLtmXYiTMKHgktTP8We1SCoS47DrQ/edit?usp=sharing"",""จัดที่ดิน!BB35"")"),0)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IFERROR(__xludf.DUMMYFUNCTION("IMPORTRANGE(""https://docs.google.com/spreadsheets/d/1QqKyyYR6Q21VydFLVH3TRQUabQu_ym0Zz7PgGX0-kHA/edit?usp=sharing"",""แผน!ID35"")"),0)</f>
        <v>0</v>
      </c>
      <c r="J700" s="892">
        <f ca="1">IFERROR(__xludf.DUMMYFUNCTION("IMPORTRANGE(""https://docs.google.com/spreadsheets/d/1XWAQStnk-4SwqDmLtmXYiTMKHgktTP8We1SCoS47DrQ/edit?usp=sharing"",""จัดที่ดิน!BD35"")"),0)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IFERROR(__xludf.DUMMYFUNCTION("IMPORTRANGE(""https://docs.google.com/spreadsheets/d/1QqKyyYR6Q21VydFLVH3TRQUabQu_ym0Zz7PgGX0-kHA/edit?usp=sharing"",""แผน!IE35"")"),0)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IFERROR(__xludf.DUMMYFUNCTION("IMPORTRANGE(""https://docs.google.com/spreadsheets/d/1QqKyyYR6Q21VydFLVH3TRQUabQu_ym0Zz7PgGX0-kHA/edit?usp=sharing"",""แผน!IF35"")"),0)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IFERROR(__xludf.DUMMYFUNCTION("IMPORTRANGE(""https://docs.google.com/spreadsheets/d/1QqKyyYR6Q21VydFLVH3TRQUabQu_ym0Zz7PgGX0-kHA/edit?usp=sharing"",""แผน!IG35"")"),0)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IFERROR(__xludf.DUMMYFUNCTION("IMPORTRANGE(""https://docs.google.com/spreadsheets/d/1QqKyyYR6Q21VydFLVH3TRQUabQu_ym0Zz7PgGX0-kHA/edit?usp=sharing"",""แผน!IH35"")"),0)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IFERROR(__xludf.DUMMYFUNCTION("IMPORTRANGE(""https://docs.google.com/spreadsheets/d/1XWAQStnk-4SwqDmLtmXYiTMKHgktTP8We1SCoS47DrQ/edit?usp=sharing"",""จัดที่ดิน!BF35"")"),0)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IFERROR(__xludf.DUMMYFUNCTION("IMPORTRANGE(""https://docs.google.com/spreadsheets/d/1XWAQStnk-4SwqDmLtmXYiTMKHgktTP8We1SCoS47DrQ/edit?usp=sharing"",""จัดที่ดิน!BG35"")"),0)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IFERROR(__xludf.DUMMYFUNCTION("IMPORTRANGE(""https://docs.google.com/spreadsheets/d/1QqKyyYR6Q21VydFLVH3TRQUabQu_ym0Zz7PgGX0-kHA/edit?usp=sharing"",""แผน!II35"")"),0)</f>
        <v>0</v>
      </c>
      <c r="J720" s="892">
        <f ca="1">IFERROR(__xludf.DUMMYFUNCTION("IMPORTRANGE(""https://docs.google.com/spreadsheets/d/1XWAQStnk-4SwqDmLtmXYiTMKHgktTP8We1SCoS47DrQ/edit?usp=sharing"",""จัดที่ดิน!BH35"")"),0)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IFERROR(__xludf.DUMMYFUNCTION("IMPORTRANGE(""https://docs.google.com/spreadsheets/d/1QqKyyYR6Q21VydFLVH3TRQUabQu_ym0Zz7PgGX0-kHA/edit?usp=sharing"",""แผน!IJ35"")"),0)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IFERROR(__xludf.DUMMYFUNCTION("IMPORTRANGE(""https://docs.google.com/spreadsheets/d/1QqKyyYR6Q21VydFLVH3TRQUabQu_ym0Zz7PgGX0-kHA/edit?usp=sharing"",""แผน!IK35"")"),0)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IFERROR(__xludf.DUMMYFUNCTION("IMPORTRANGE(""https://docs.google.com/spreadsheets/d/1QqKyyYR6Q21VydFLVH3TRQUabQu_ym0Zz7PgGX0-kHA/edit?usp=sharing"",""แผน!IL35"")"),0)</f>
        <v>0</v>
      </c>
      <c r="J723" s="892">
        <f ca="1">IFERROR(__xludf.DUMMYFUNCTION("IMPORTRANGE(""https://docs.google.com/spreadsheets/d/1XWAQStnk-4SwqDmLtmXYiTMKHgktTP8We1SCoS47DrQ/edit?usp=sharing"",""จัดที่ดิน!BM35"")"),0)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IFERROR(__xludf.DUMMYFUNCTION("IMPORTRANGE(""https://docs.google.com/spreadsheets/d/1XWAQStnk-4SwqDmLtmXYiTMKHgktTP8We1SCoS47DrQ/edit?usp=sharing"",""จัดที่ดิน!BN35"")"),0)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IFERROR(__xludf.DUMMYFUNCTION("IMPORTRANGE(""https://docs.google.com/spreadsheets/d/1QqKyyYR6Q21VydFLVH3TRQUabQu_ym0Zz7PgGX0-kHA/edit?usp=sharing"",""แผน!IM35"")"),0)</f>
        <v>0</v>
      </c>
      <c r="J725" s="892">
        <f ca="1">IFERROR(__xludf.DUMMYFUNCTION("IMPORTRANGE(""https://docs.google.com/spreadsheets/d/1XWAQStnk-4SwqDmLtmXYiTMKHgktTP8We1SCoS47DrQ/edit?usp=sharing"",""จัดที่ดิน!BO35"")"),0)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IFERROR(__xludf.DUMMYFUNCTION("IMPORTRANGE(""https://docs.google.com/spreadsheets/d/1QqKyyYR6Q21VydFLVH3TRQUabQu_ym0Zz7PgGX0-kHA/edit?usp=sharing"",""แผน!IN35"")"),0)</f>
        <v>0</v>
      </c>
      <c r="J726" s="892">
        <f ca="1">IFERROR(__xludf.DUMMYFUNCTION("IMPORTRANGE(""https://docs.google.com/spreadsheets/d/1XWAQStnk-4SwqDmLtmXYiTMKHgktTP8We1SCoS47DrQ/edit?usp=sharing"",""จัดที่ดิน!BR35"")"),0)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IFERROR(__xludf.DUMMYFUNCTION("IMPORTRANGE(""https://docs.google.com/spreadsheets/d/1XWAQStnk-4SwqDmLtmXYiTMKHgktTP8We1SCoS47DrQ/edit?usp=sharing"",""จัดที่ดิน!BS35"")"),0)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IFERROR(__xludf.DUMMYFUNCTION("IMPORTRANGE(""https://docs.google.com/spreadsheets/d/1QqKyyYR6Q21VydFLVH3TRQUabQu_ym0Zz7PgGX0-kHA/edit?usp=sharing"",""แผน!IO35"")"),0)</f>
        <v>0</v>
      </c>
      <c r="J728" s="892">
        <f ca="1">IFERROR(__xludf.DUMMYFUNCTION("IMPORTRANGE(""https://docs.google.com/spreadsheets/d/1XWAQStnk-4SwqDmLtmXYiTMKHgktTP8We1SCoS47DrQ/edit?usp=sharing"",""จัดที่ดิน!BT35"")"),0)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IFERROR(__xludf.DUMMYFUNCTION("IMPORTRANGE(""https://docs.google.com/spreadsheets/d/1QqKyyYR6Q21VydFLVH3TRQUabQu_ym0Zz7PgGX0-kHA/edit?usp=sharing"",""แผน!IP35"")"),0)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IFERROR(__xludf.DUMMYFUNCTION("IMPORTRANGE(""https://docs.google.com/spreadsheets/d/1QqKyyYR6Q21VydFLVH3TRQUabQu_ym0Zz7PgGX0-kHA/edit?usp=sharing"",""แผน!JJ35"")"),0)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IFERROR(__xludf.DUMMYFUNCTION("IMPORTRANGE(""https://docs.google.com/spreadsheets/d/1QqKyyYR6Q21VydFLVH3TRQUabQu_ym0Zz7PgGX0-kHA/edit?usp=sharing"",""แผน!JN35"")"),0)</f>
        <v>0</v>
      </c>
      <c r="J800" s="1009">
        <f ca="1">IFERROR(__xludf.DUMMYFUNCTION("IMPORTRANGE(""https://docs.google.com/spreadsheets/d/1MaWodYyGHDf7siQLGxnXhG4mBNTNIuy296niS2xXulU/edit?usp=sharing"",""RTK!H35"")"),0)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IFERROR(__xludf.DUMMYFUNCTION("IMPORTRANGE(""https://docs.google.com/spreadsheets/d/1MaWodYyGHDf7siQLGxnXhG4mBNTNIuy296niS2xXulU/edit?usp=sharing"",""RTK!I35"")"),0)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892">
        <f ca="1">IFERROR(__xludf.DUMMYFUNCTION("IMPORTRANGE(""https://docs.google.com/spreadsheets/d/19vJNZY_5yjcGF2XGBMNZRCAIB0Kwfpjp8YEOfu-bneM/edit?usp=sharing"",""งานกองทุน!F35"")"),1900649.32)</f>
        <v>1900649.32</v>
      </c>
      <c r="K821" s="893">
        <f t="shared" ref="K821:K828" ca="1" si="335">IF(I821&gt;0,J821*100/I821,0)</f>
        <v>78.743913139738183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IFERROR(__xludf.DUMMYFUNCTION("IMPORTRANGE(""https://docs.google.com/spreadsheets/d/19vJNZY_5yjcGF2XGBMNZRCAIB0Kwfpjp8YEOfu-bneM/edit?usp=sharing"",""งานกองทุน!C35"")"),241)</f>
        <v>241</v>
      </c>
      <c r="J822" s="892">
        <f ca="1">IFERROR(__xludf.DUMMYFUNCTION("IMPORTRANGE(""https://docs.google.com/spreadsheets/d/19vJNZY_5yjcGF2XGBMNZRCAIB0Kwfpjp8YEOfu-bneM/edit?usp=sharing"",""งานกองทุน!E35"")"),195)</f>
        <v>195</v>
      </c>
      <c r="K822" s="893">
        <f t="shared" ca="1" si="335"/>
        <v>80.912863070539416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892">
        <f ca="1">IFERROR(__xludf.DUMMYFUNCTION("IMPORTRANGE(""https://docs.google.com/spreadsheets/d/19vJNZY_5yjcGF2XGBMNZRCAIB0Kwfpjp8YEOfu-bneM/edit?usp=sharing"",""งานกองทุน!K35"")"),283630.18)</f>
        <v>283630.18</v>
      </c>
      <c r="K823" s="893">
        <f t="shared" ca="1" si="335"/>
        <v>10.497936196180367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IFERROR(__xludf.DUMMYFUNCTION("IMPORTRANGE(""https://docs.google.com/spreadsheets/d/19vJNZY_5yjcGF2XGBMNZRCAIB0Kwfpjp8YEOfu-bneM/edit?usp=sharing"",""งานกองทุน!H35"")"),123)</f>
        <v>123</v>
      </c>
      <c r="J824" s="892">
        <f ca="1">IFERROR(__xludf.DUMMYFUNCTION("IMPORTRANGE(""https://docs.google.com/spreadsheets/d/19vJNZY_5yjcGF2XGBMNZRCAIB0Kwfpjp8YEOfu-bneM/edit?usp=sharing"",""งานกองทุน!J35"")"),67)</f>
        <v>67</v>
      </c>
      <c r="K824" s="893">
        <f t="shared" ca="1" si="335"/>
        <v>54.471544715447152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892">
        <f ca="1">IFERROR(__xludf.DUMMYFUNCTION("IMPORTRANGE(""https://docs.google.com/spreadsheets/d/19vJNZY_5yjcGF2XGBMNZRCAIB0Kwfpjp8YEOfu-bneM/edit?usp=sharing"",""งานกองทุน!P35"")"),135705.85)</f>
        <v>135705.85</v>
      </c>
      <c r="K825" s="893">
        <f t="shared" ca="1" si="335"/>
        <v>53.265537117001678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IFERROR(__xludf.DUMMYFUNCTION("IMPORTRANGE(""https://docs.google.com/spreadsheets/d/19vJNZY_5yjcGF2XGBMNZRCAIB0Kwfpjp8YEOfu-bneM/edit?usp=sharing"",""งานกองทุน!M35"")"),22)</f>
        <v>22</v>
      </c>
      <c r="J826" s="892">
        <f ca="1">IFERROR(__xludf.DUMMYFUNCTION("IMPORTRANGE(""https://docs.google.com/spreadsheets/d/19vJNZY_5yjcGF2XGBMNZRCAIB0Kwfpjp8YEOfu-bneM/edit?usp=sharing"",""งานกองทุน!O35"")"),10)</f>
        <v>10</v>
      </c>
      <c r="K826" s="893">
        <f t="shared" ca="1" si="335"/>
        <v>45.454545454545453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IFERROR(__xludf.DUMMYFUNCTION("IMPORTRANGE(""https://docs.google.com/spreadsheets/d/19vJNZY_5yjcGF2XGBMNZRCAIB0Kwfpjp8YEOfu-bneM/edit?usp=sharing"",""งานกองทุน!S35"")"),2500000)</f>
        <v>2500000</v>
      </c>
      <c r="J827" s="892">
        <f ca="1">IFERROR(__xludf.DUMMYFUNCTION("IMPORTRANGE(""https://docs.google.com/spreadsheets/d/19vJNZY_5yjcGF2XGBMNZRCAIB0Kwfpjp8YEOfu-bneM/edit?usp=sharing"",""งานกองทุน!U35"")"),2050000)</f>
        <v>2050000</v>
      </c>
      <c r="K827" s="893">
        <f t="shared" ca="1" si="335"/>
        <v>82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IFERROR(__xludf.DUMMYFUNCTION("IMPORTRANGE(""https://docs.google.com/spreadsheets/d/19vJNZY_5yjcGF2XGBMNZRCAIB0Kwfpjp8YEOfu-bneM/edit?usp=sharing"",""งานกองทุน!R35"")"),80)</f>
        <v>80</v>
      </c>
      <c r="J828" s="1149">
        <f ca="1">IFERROR(__xludf.DUMMYFUNCTION("IMPORTRANGE(""https://docs.google.com/spreadsheets/d/19vJNZY_5yjcGF2XGBMNZRCAIB0Kwfpjp8YEOfu-bneM/edit?usp=sharing"",""งานกองทุน!T35"")"),63)</f>
        <v>63</v>
      </c>
      <c r="K828" s="1251">
        <f t="shared" ca="1" si="335"/>
        <v>78.75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2B5E-C9BA-4A04-93EB-5FA5891CFDE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3" width="22" style="864" bestFit="1" customWidth="1"/>
    <col min="14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12033382</v>
      </c>
      <c r="M8" s="879">
        <f t="shared" ca="1" si="0"/>
        <v>10933809</v>
      </c>
      <c r="N8" s="879">
        <f t="shared" ca="1" si="0"/>
        <v>6779849.2699999996</v>
      </c>
      <c r="O8" s="879">
        <f t="shared" ref="O8:O16" ca="1" si="1">IF(L8&gt;0,N8*100/L8,0)</f>
        <v>56.342009835638891</v>
      </c>
      <c r="P8" s="879">
        <f t="shared" ref="P8:P16" ca="1" si="2">IF(M8&gt;0,N8*100/M8,0)</f>
        <v>62.008118762637977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12033382</v>
      </c>
      <c r="M10" s="886">
        <f t="shared" ca="1" si="3"/>
        <v>10933809</v>
      </c>
      <c r="N10" s="886">
        <f t="shared" ca="1" si="3"/>
        <v>6779849.2699999996</v>
      </c>
      <c r="O10" s="886">
        <f t="shared" ca="1" si="1"/>
        <v>56.342009835638891</v>
      </c>
      <c r="P10" s="886">
        <f t="shared" ca="1" si="2"/>
        <v>62.008118762637977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11622082</v>
      </c>
      <c r="M11" s="893">
        <f t="shared" ca="1" si="4"/>
        <v>10522509</v>
      </c>
      <c r="N11" s="893">
        <f t="shared" ca="1" si="4"/>
        <v>6368549.2699999996</v>
      </c>
      <c r="O11" s="893">
        <f t="shared" ca="1" si="1"/>
        <v>54.796974156609807</v>
      </c>
      <c r="P11" s="893">
        <f t="shared" ca="1" si="2"/>
        <v>60.523105943648993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11622082</v>
      </c>
      <c r="M13" s="899">
        <f t="shared" ca="1" si="5"/>
        <v>10522509</v>
      </c>
      <c r="N13" s="899">
        <f t="shared" ca="1" si="5"/>
        <v>6368549.2699999996</v>
      </c>
      <c r="O13" s="899">
        <f t="shared" ca="1" si="1"/>
        <v>54.796974156609807</v>
      </c>
      <c r="P13" s="899">
        <f t="shared" ca="1" si="2"/>
        <v>60.523105943648993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411300</v>
      </c>
      <c r="M14" s="893">
        <f t="shared" ca="1" si="6"/>
        <v>411300</v>
      </c>
      <c r="N14" s="893">
        <f t="shared" ca="1" si="6"/>
        <v>411300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411300</v>
      </c>
      <c r="M16" s="905">
        <f t="shared" ca="1" si="7"/>
        <v>411300</v>
      </c>
      <c r="N16" s="905">
        <f t="shared" ca="1" si="7"/>
        <v>411300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6554092</v>
      </c>
      <c r="M18" s="879">
        <f t="shared" ca="1" si="8"/>
        <v>5458519</v>
      </c>
      <c r="N18" s="879">
        <f t="shared" ca="1" si="8"/>
        <v>3714622.6799999997</v>
      </c>
      <c r="O18" s="879">
        <f t="shared" ref="O18:O26" ca="1" si="9">IF(L18&gt;0,N18*100/L18,0)</f>
        <v>56.676389040617678</v>
      </c>
      <c r="P18" s="879">
        <f t="shared" ref="P18:P26" ca="1" si="10">IF(M18&gt;0,N18*100/M18,0)</f>
        <v>68.051841167906531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6554092</v>
      </c>
      <c r="M20" s="886">
        <f t="shared" ca="1" si="11"/>
        <v>5458519</v>
      </c>
      <c r="N20" s="886">
        <f t="shared" ca="1" si="11"/>
        <v>3714622.6799999997</v>
      </c>
      <c r="O20" s="886">
        <f t="shared" ca="1" si="9"/>
        <v>56.676389040617678</v>
      </c>
      <c r="P20" s="886">
        <f t="shared" ca="1" si="10"/>
        <v>68.051841167906531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6142792</v>
      </c>
      <c r="M21" s="893">
        <f t="shared" ca="1" si="12"/>
        <v>5047219</v>
      </c>
      <c r="N21" s="893">
        <f t="shared" ca="1" si="12"/>
        <v>3303322.6799999997</v>
      </c>
      <c r="O21" s="893">
        <f t="shared" ca="1" si="9"/>
        <v>53.775590643472867</v>
      </c>
      <c r="P21" s="893">
        <f t="shared" ca="1" si="10"/>
        <v>65.448372262031825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6142792</v>
      </c>
      <c r="M23" s="899">
        <f t="shared" ca="1" si="13"/>
        <v>5047219</v>
      </c>
      <c r="N23" s="899">
        <f t="shared" ca="1" si="13"/>
        <v>3303322.6799999997</v>
      </c>
      <c r="O23" s="899">
        <f t="shared" ca="1" si="9"/>
        <v>53.775590643472867</v>
      </c>
      <c r="P23" s="899">
        <f t="shared" ca="1" si="10"/>
        <v>65.448372262031825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411300</v>
      </c>
      <c r="M24" s="893">
        <f t="shared" ca="1" si="14"/>
        <v>411300</v>
      </c>
      <c r="N24" s="893">
        <f t="shared" ca="1" si="14"/>
        <v>411300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411300</v>
      </c>
      <c r="M26" s="905">
        <f t="shared" ca="1" si="15"/>
        <v>411300</v>
      </c>
      <c r="N26" s="905">
        <f t="shared" ca="1" si="15"/>
        <v>411300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5479290</v>
      </c>
      <c r="M28" s="879">
        <f t="shared" ca="1" si="16"/>
        <v>5475290</v>
      </c>
      <c r="N28" s="879">
        <f t="shared" si="16"/>
        <v>3065226.59</v>
      </c>
      <c r="O28" s="879">
        <f t="shared" ref="O28:O37" ca="1" si="17">IF(L28&gt;0,N28*100/L28,0)</f>
        <v>55.942039753325702</v>
      </c>
      <c r="P28" s="879">
        <f t="shared" ref="P28:P37" ca="1" si="18">IF(M28&gt;0,N28*100/M28,0)</f>
        <v>55.982908485212654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5479290</v>
      </c>
      <c r="M30" s="886">
        <f t="shared" ca="1" si="19"/>
        <v>5475290</v>
      </c>
      <c r="N30" s="886">
        <f t="shared" si="19"/>
        <v>3065226.59</v>
      </c>
      <c r="O30" s="886">
        <f t="shared" ca="1" si="17"/>
        <v>55.942039753325702</v>
      </c>
      <c r="P30" s="886">
        <f t="shared" ca="1" si="18"/>
        <v>55.982908485212654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5479290</v>
      </c>
      <c r="M31" s="893">
        <f t="shared" ca="1" si="20"/>
        <v>5475290</v>
      </c>
      <c r="N31" s="893">
        <f t="shared" si="20"/>
        <v>3065226.59</v>
      </c>
      <c r="O31" s="893">
        <f t="shared" ca="1" si="17"/>
        <v>55.942039753325702</v>
      </c>
      <c r="P31" s="893">
        <f t="shared" ca="1" si="18"/>
        <v>55.982908485212654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5479290</v>
      </c>
      <c r="M33" s="899">
        <f t="shared" ca="1" si="21"/>
        <v>5475290</v>
      </c>
      <c r="N33" s="899">
        <f t="shared" si="21"/>
        <v>3065226.59</v>
      </c>
      <c r="O33" s="899">
        <f t="shared" ca="1" si="17"/>
        <v>55.942039753325702</v>
      </c>
      <c r="P33" s="899">
        <f t="shared" ca="1" si="18"/>
        <v>55.982908485212654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6554092</v>
      </c>
      <c r="M37" s="912">
        <f t="shared" ca="1" si="24"/>
        <v>5458519</v>
      </c>
      <c r="N37" s="912">
        <f t="shared" ca="1" si="24"/>
        <v>3714622.6799999997</v>
      </c>
      <c r="O37" s="912">
        <f t="shared" ca="1" si="17"/>
        <v>56.676389040617678</v>
      </c>
      <c r="P37" s="912">
        <f t="shared" ca="1" si="18"/>
        <v>68.051841167906531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710292</v>
      </c>
      <c r="M41" s="938">
        <f t="shared" ca="1" si="25"/>
        <v>738754</v>
      </c>
      <c r="N41" s="938">
        <f t="shared" ca="1" si="25"/>
        <v>466688</v>
      </c>
      <c r="O41" s="938">
        <f t="shared" ref="O41:O49" ca="1" si="26">IF(L41&gt;0,N41*100/L41,0)</f>
        <v>65.703682429198139</v>
      </c>
      <c r="P41" s="938">
        <f t="shared" ref="P41:P49" ca="1" si="27">IF(M41&gt;0,N41*100/M41,0)</f>
        <v>63.172314464625572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710292</v>
      </c>
      <c r="M43" s="944">
        <f t="shared" ca="1" si="28"/>
        <v>738754</v>
      </c>
      <c r="N43" s="944">
        <f t="shared" ca="1" si="28"/>
        <v>466688</v>
      </c>
      <c r="O43" s="944">
        <f t="shared" ca="1" si="26"/>
        <v>65.703682429198139</v>
      </c>
      <c r="P43" s="944">
        <f t="shared" ca="1" si="27"/>
        <v>63.172314464625572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710292</v>
      </c>
      <c r="M44" s="893">
        <f t="shared" ca="1" si="29"/>
        <v>738754</v>
      </c>
      <c r="N44" s="893">
        <f t="shared" ca="1" si="29"/>
        <v>466688</v>
      </c>
      <c r="O44" s="893">
        <f t="shared" ca="1" si="26"/>
        <v>65.703682429198139</v>
      </c>
      <c r="P44" s="893">
        <f t="shared" ca="1" si="27"/>
        <v>63.172314464625572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IFERROR(__xludf.DUMMYFUNCTION("IMPORTRANGE(""https://docs.google.com/spreadsheets/d/1MeEWN-I1oV_STSDYn1IFDPWt_1FKiwhDph83XaGc0o0/edit?usp=sharing"",""งบพรบ!M36"")"),710292)</f>
        <v>710292</v>
      </c>
      <c r="M46" s="899">
        <f ca="1">IFERROR(__xludf.DUMMYFUNCTION("IMPORTRANGE(""https://docs.google.com/spreadsheets/d/1MeEWN-I1oV_STSDYn1IFDPWt_1FKiwhDph83XaGc0o0/edit?usp=sharing"",""งบพรบ!R36"")"),738754)</f>
        <v>738754</v>
      </c>
      <c r="N46" s="899">
        <f ca="1">IFERROR(__xludf.DUMMYFUNCTION("IMPORTRANGE(""https://docs.google.com/spreadsheets/d/1MeEWN-I1oV_STSDYn1IFDPWt_1FKiwhDph83XaGc0o0/edit?usp=sharing"",""งบพรบ!T36"")"),466688)</f>
        <v>466688</v>
      </c>
      <c r="O46" s="899">
        <f t="shared" ca="1" si="26"/>
        <v>65.703682429198139</v>
      </c>
      <c r="P46" s="899">
        <f t="shared" ca="1" si="27"/>
        <v>63.172314464625572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IFERROR(__xludf.DUMMYFUNCTION("IMPORTRANGE(""https://docs.google.com/spreadsheets/d/1MeEWN-I1oV_STSDYn1IFDPWt_1FKiwhDph83XaGc0o0/edit?usp=sharing"",""งบพรบ!P36"")"),0)</f>
        <v>0</v>
      </c>
      <c r="M49" s="905">
        <f ca="1">IFERROR(__xludf.DUMMYFUNCTION("IMPORTRANGE(""https://docs.google.com/spreadsheets/d/1MeEWN-I1oV_STSDYn1IFDPWt_1FKiwhDph83XaGc0o0/edit?usp=sharing"",""งบพรบ!S36"")"),0)</f>
        <v>0</v>
      </c>
      <c r="N49" s="905">
        <f ca="1">IFERROR(__xludf.DUMMYFUNCTION("IMPORTRANGE(""https://docs.google.com/spreadsheets/d/1MeEWN-I1oV_STSDYn1IFDPWt_1FKiwhDph83XaGc0o0/edit?usp=sharing"",""งบพรบ!U36"")"),0)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1133200</v>
      </c>
      <c r="M53" s="968">
        <f t="shared" ca="1" si="31"/>
        <v>857375</v>
      </c>
      <c r="N53" s="968">
        <f t="shared" ca="1" si="31"/>
        <v>701739.09</v>
      </c>
      <c r="O53" s="968">
        <f t="shared" ref="O53:O61" ca="1" si="32">IF(L53&gt;0,N53*100/L53,0)</f>
        <v>61.92544034592305</v>
      </c>
      <c r="P53" s="968">
        <f t="shared" ref="P53:P61" ca="1" si="33">IF(M53&gt;0,N53*100/M53,0)</f>
        <v>81.847393497594396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1133200</v>
      </c>
      <c r="M55" s="974">
        <f t="shared" ca="1" si="34"/>
        <v>857375</v>
      </c>
      <c r="N55" s="974">
        <f t="shared" ca="1" si="34"/>
        <v>701739.09</v>
      </c>
      <c r="O55" s="974">
        <f t="shared" ca="1" si="32"/>
        <v>61.92544034592305</v>
      </c>
      <c r="P55" s="974">
        <f t="shared" ca="1" si="33"/>
        <v>81.847393497594396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1103300</v>
      </c>
      <c r="M56" s="893">
        <f t="shared" ca="1" si="35"/>
        <v>827475</v>
      </c>
      <c r="N56" s="893">
        <f t="shared" ca="1" si="35"/>
        <v>671839.09</v>
      </c>
      <c r="O56" s="893">
        <f t="shared" ca="1" si="32"/>
        <v>60.893600108764616</v>
      </c>
      <c r="P56" s="893">
        <f t="shared" ca="1" si="33"/>
        <v>81.191466811686155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IFERROR(__xludf.DUMMYFUNCTION("IMPORTRANGE(""https://docs.google.com/spreadsheets/d/1MeEWN-I1oV_STSDYn1IFDPWt_1FKiwhDph83XaGc0o0/edit?usp=sharing"",""งบพรบ!W36"")"),1103300)</f>
        <v>1103300</v>
      </c>
      <c r="M58" s="899">
        <f ca="1">IFERROR(__xludf.DUMMYFUNCTION("IMPORTRANGE(""https://docs.google.com/spreadsheets/d/1MeEWN-I1oV_STSDYn1IFDPWt_1FKiwhDph83XaGc0o0/edit?usp=sharing"",""งบพรบ!AB36"")"),827475)</f>
        <v>827475</v>
      </c>
      <c r="N58" s="899">
        <f ca="1">IFERROR(__xludf.DUMMYFUNCTION("IMPORTRANGE(""https://docs.google.com/spreadsheets/d/1MeEWN-I1oV_STSDYn1IFDPWt_1FKiwhDph83XaGc0o0/edit?usp=sharing"",""งบพรบ!AD36"")"),671839.09)</f>
        <v>671839.09</v>
      </c>
      <c r="O58" s="899">
        <f t="shared" ca="1" si="32"/>
        <v>60.893600108764616</v>
      </c>
      <c r="P58" s="899">
        <f t="shared" ca="1" si="33"/>
        <v>81.191466811686155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29900</v>
      </c>
      <c r="M59" s="893">
        <f t="shared" ca="1" si="36"/>
        <v>29900</v>
      </c>
      <c r="N59" s="893">
        <f t="shared" ca="1" si="36"/>
        <v>29900</v>
      </c>
      <c r="O59" s="893">
        <f t="shared" ca="1" si="32"/>
        <v>100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IFERROR(__xludf.DUMMYFUNCTION("IMPORTRANGE(""https://docs.google.com/spreadsheets/d/1MeEWN-I1oV_STSDYn1IFDPWt_1FKiwhDph83XaGc0o0/edit?usp=sharing"",""งบพรบ!Z36"")"),29900)</f>
        <v>29900</v>
      </c>
      <c r="M61" s="905">
        <f ca="1">IFERROR(__xludf.DUMMYFUNCTION("IMPORTRANGE(""https://docs.google.com/spreadsheets/d/1MeEWN-I1oV_STSDYn1IFDPWt_1FKiwhDph83XaGc0o0/edit?usp=sharing"",""งบพรบ!AC36"")"),29900)</f>
        <v>29900</v>
      </c>
      <c r="N61" s="905">
        <f ca="1">IFERROR(__xludf.DUMMYFUNCTION("IMPORTRANGE(""https://docs.google.com/spreadsheets/d/1MeEWN-I1oV_STSDYn1IFDPWt_1FKiwhDph83XaGc0o0/edit?usp=sharing"",""งบพรบ!AE36"")"),29900)</f>
        <v>29900</v>
      </c>
      <c r="O61" s="905">
        <f t="shared" ca="1" si="32"/>
        <v>100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IFERROR(__xludf.DUMMYFUNCTION("IMPORTRANGE(""https://docs.google.com/spreadsheets/d/1MeEWN-I1oV_STSDYn1IFDPWt_1FKiwhDph83XaGc0o0/edit?usp=sharing"",""งบพรบ!AG36"")"),0)</f>
        <v>0</v>
      </c>
      <c r="M71" s="899">
        <f ca="1">IFERROR(__xludf.DUMMYFUNCTION("IMPORTRANGE(""https://docs.google.com/spreadsheets/d/1MeEWN-I1oV_STSDYn1IFDPWt_1FKiwhDph83XaGc0o0/edit?usp=sharing"",""งบพรบ!AL36"")"),0)</f>
        <v>0</v>
      </c>
      <c r="N71" s="899">
        <f ca="1">IFERROR(__xludf.DUMMYFUNCTION("IMPORTRANGE(""https://docs.google.com/spreadsheets/d/1MeEWN-I1oV_STSDYn1IFDPWt_1FKiwhDph83XaGc0o0/edit?usp=sharing"",""งบพรบ!AN36"")"),0)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IFERROR(__xludf.DUMMYFUNCTION("IMPORTRANGE(""https://docs.google.com/spreadsheets/d/1MeEWN-I1oV_STSDYn1IFDPWt_1FKiwhDph83XaGc0o0/edit?usp=sharing"",""งบพรบ!AJ36"")"),0)</f>
        <v>0</v>
      </c>
      <c r="M74" s="899">
        <f ca="1">IFERROR(__xludf.DUMMYFUNCTION("IMPORTRANGE(""https://docs.google.com/spreadsheets/d/1MeEWN-I1oV_STSDYn1IFDPWt_1FKiwhDph83XaGc0o0/edit?usp=sharing"",""งบพรบ!AM36"")"),0)</f>
        <v>0</v>
      </c>
      <c r="N74" s="899">
        <f ca="1">IFERROR(__xludf.DUMMYFUNCTION("IMPORTRANGE(""https://docs.google.com/spreadsheets/d/1MeEWN-I1oV_STSDYn1IFDPWt_1FKiwhDph83XaGc0o0/edit?usp=sharing"",""งบพรบ!AO36"")"),0)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IFERROR(__xludf.DUMMYFUNCTION("IMPORTRANGE(""https://docs.google.com/spreadsheets/d/1QqKyyYR6Q21VydFLVH3TRQUabQu_ym0Zz7PgGX0-kHA/edit?usp=sharing"",""แผน!H36"")"),0)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IFERROR(__xludf.DUMMYFUNCTION("IMPORTRANGE(""https://docs.google.com/spreadsheets/d/1QqKyyYR6Q21VydFLVH3TRQUabQu_ym0Zz7PgGX0-kHA/edit?usp=sharing"",""แผน!I36"")"),0)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IFERROR(__xludf.DUMMYFUNCTION("IMPORTRANGE(""https://docs.google.com/spreadsheets/d/1QqKyyYR6Q21VydFLVH3TRQUabQu_ym0Zz7PgGX0-kHA/edit?usp=sharing"",""แผน!F36"")"),0)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IFERROR(__xludf.DUMMYFUNCTION("IMPORTRANGE(""https://docs.google.com/spreadsheets/d/1QqKyyYR6Q21VydFLVH3TRQUabQu_ym0Zz7PgGX0-kHA/edit?usp=sharing"",""แผน!G36"")"),0)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IFERROR(__xludf.DUMMYFUNCTION("IMPORTRANGE(""https://docs.google.com/spreadsheets/d/1QqKyyYR6Q21VydFLVH3TRQUabQu_ym0Zz7PgGX0-kHA/edit?usp=sharing"",""แผน!D36"")"),0)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IFERROR(__xludf.DUMMYFUNCTION("IMPORTRANGE(""https://docs.google.com/spreadsheets/d/1QqKyyYR6Q21VydFLVH3TRQUabQu_ym0Zz7PgGX0-kHA/edit?usp=sharing"",""แผน!E36"")"),0)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IFERROR(__xludf.DUMMYFUNCTION("IMPORTRANGE(""https://docs.google.com/spreadsheets/d/1QqKyyYR6Q21VydFLVH3TRQUabQu_ym0Zz7PgGX0-kHA/edit?usp=sharing"",""แผน!J36"")"),0)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75</v>
      </c>
      <c r="J86" s="994">
        <f t="shared" si="47"/>
        <v>75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25</v>
      </c>
      <c r="J87" s="994">
        <f t="shared" si="47"/>
        <v>25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63900</v>
      </c>
      <c r="M88" s="1004">
        <f t="shared" ca="1" si="49"/>
        <v>56400</v>
      </c>
      <c r="N88" s="1004">
        <f t="shared" ca="1" si="49"/>
        <v>53600</v>
      </c>
      <c r="O88" s="1004">
        <f t="shared" ref="O88:O96" ca="1" si="50">IF(L88&gt;0,N88*100/L88,0)</f>
        <v>83.881064162754299</v>
      </c>
      <c r="P88" s="1004">
        <f t="shared" ref="P88:P96" ca="1" si="51">IF(M88&gt;0,N88*100/M88,0)</f>
        <v>95.035460992907801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63900</v>
      </c>
      <c r="M90" s="899">
        <f t="shared" ca="1" si="52"/>
        <v>56400</v>
      </c>
      <c r="N90" s="899">
        <f t="shared" ca="1" si="52"/>
        <v>53600</v>
      </c>
      <c r="O90" s="899">
        <f t="shared" ca="1" si="50"/>
        <v>83.881064162754299</v>
      </c>
      <c r="P90" s="899">
        <f t="shared" ca="1" si="51"/>
        <v>95.035460992907801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63900</v>
      </c>
      <c r="M91" s="893">
        <f t="shared" ca="1" si="53"/>
        <v>56400</v>
      </c>
      <c r="N91" s="893">
        <f t="shared" ca="1" si="53"/>
        <v>53600</v>
      </c>
      <c r="O91" s="893">
        <f t="shared" ca="1" si="50"/>
        <v>83.881064162754299</v>
      </c>
      <c r="P91" s="893">
        <f t="shared" ca="1" si="51"/>
        <v>95.035460992907801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IFERROR(__xludf.DUMMYFUNCTION("IMPORTRANGE(""https://docs.google.com/spreadsheets/d/1MeEWN-I1oV_STSDYn1IFDPWt_1FKiwhDph83XaGc0o0/edit?usp=sharing"",""งบพรบ!AQ36"")"),63900)</f>
        <v>63900</v>
      </c>
      <c r="M93" s="899">
        <f ca="1">IFERROR(__xludf.DUMMYFUNCTION("IMPORTRANGE(""https://docs.google.com/spreadsheets/d/1MeEWN-I1oV_STSDYn1IFDPWt_1FKiwhDph83XaGc0o0/edit?usp=sharing"",""งบพรบ!AV36"")"),56400)</f>
        <v>56400</v>
      </c>
      <c r="N93" s="899">
        <f ca="1">IFERROR(__xludf.DUMMYFUNCTION("IMPORTRANGE(""https://docs.google.com/spreadsheets/d/1MeEWN-I1oV_STSDYn1IFDPWt_1FKiwhDph83XaGc0o0/edit?usp=sharing"",""งบพรบ!AX36"")"),53600)</f>
        <v>53600</v>
      </c>
      <c r="O93" s="899">
        <f t="shared" ca="1" si="50"/>
        <v>83.881064162754299</v>
      </c>
      <c r="P93" s="899">
        <f t="shared" ca="1" si="51"/>
        <v>95.035460992907801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IFERROR(__xludf.DUMMYFUNCTION("IMPORTRANGE(""https://docs.google.com/spreadsheets/d/1MeEWN-I1oV_STSDYn1IFDPWt_1FKiwhDph83XaGc0o0/edit?usp=sharing"",""งบพรบ!AT36"")"),0)</f>
        <v>0</v>
      </c>
      <c r="M96" s="899">
        <f ca="1">IFERROR(__xludf.DUMMYFUNCTION("IMPORTRANGE(""https://docs.google.com/spreadsheets/d/1MeEWN-I1oV_STSDYn1IFDPWt_1FKiwhDph83XaGc0o0/edit?usp=sharing"",""งบพรบ!AW36"")"),0)</f>
        <v>0</v>
      </c>
      <c r="N96" s="899">
        <f ca="1">IFERROR(__xludf.DUMMYFUNCTION("IMPORTRANGE(""https://docs.google.com/spreadsheets/d/1MeEWN-I1oV_STSDYn1IFDPWt_1FKiwhDph83XaGc0o0/edit?usp=sharing"",""งบพรบ!AY36"")"),0)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IFERROR(__xludf.DUMMYFUNCTION("IMPORTRANGE(""https://docs.google.com/spreadsheets/d/1QqKyyYR6Q21VydFLVH3TRQUabQu_ym0Zz7PgGX0-kHA/edit?usp=sharing"",""แผน!K36"")"),75)</f>
        <v>75</v>
      </c>
      <c r="J98" s="892">
        <f>J102</f>
        <v>75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IFERROR(__xludf.DUMMYFUNCTION("IMPORTRANGE(""https://docs.google.com/spreadsheets/d/1QqKyyYR6Q21VydFLVH3TRQUabQu_ym0Zz7PgGX0-kHA/edit?usp=sharing"",""แผน!L36"")"),25)</f>
        <v>25</v>
      </c>
      <c r="J99" s="892">
        <f>J104</f>
        <v>25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IFERROR(__xludf.DUMMYFUNCTION("IMPORTRANGE(""https://docs.google.com/spreadsheets/d/1QqKyyYR6Q21VydFLVH3TRQUabQu_ym0Zz7PgGX0-kHA/edit?usp=sharing"",""แผน!M36"")"),0)</f>
        <v>0</v>
      </c>
      <c r="J100" s="892">
        <f>J107+J110</f>
        <v>0</v>
      </c>
      <c r="K100" s="893">
        <f t="shared" ca="1" si="55"/>
        <v>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IFERROR(__xludf.DUMMYFUNCTION("IMPORTRANGE(""https://docs.google.com/spreadsheets/d/1QqKyyYR6Q21VydFLVH3TRQUabQu_ym0Zz7PgGX0-kHA/edit?usp=sharing"",""แผน!N36"")"),75)</f>
        <v>75</v>
      </c>
      <c r="J102" s="1024">
        <v>75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IFERROR(__xludf.DUMMYFUNCTION("IMPORTRANGE(""https://docs.google.com/spreadsheets/d/1QqKyyYR6Q21VydFLVH3TRQUabQu_ym0Zz7PgGX0-kHA/edit?usp=sharing"",""แผน!O36"")"),25)</f>
        <v>25</v>
      </c>
      <c r="J103" s="1024">
        <v>25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IFERROR(__xludf.DUMMYFUNCTION("IMPORTRANGE(""https://docs.google.com/spreadsheets/d/1QqKyyYR6Q21VydFLVH3TRQUabQu_ym0Zz7PgGX0-kHA/edit?usp=sharing"",""แผน!O36"")"),25)</f>
        <v>25</v>
      </c>
      <c r="J104" s="1024">
        <v>25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IFERROR(__xludf.DUMMYFUNCTION("IMPORTRANGE(""https://docs.google.com/spreadsheets/d/1QqKyyYR6Q21VydFLVH3TRQUabQu_ym0Zz7PgGX0-kHA/edit?usp=sharing"",""แผน!P36"")"),0)</f>
        <v>0</v>
      </c>
      <c r="J106" s="1024">
        <v>0</v>
      </c>
      <c r="K106" s="893">
        <f t="shared" ref="K106:K107" ca="1" si="57">IF(I106&gt;0,J106*100/I106,0)</f>
        <v>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IFERROR(__xludf.DUMMYFUNCTION("IMPORTRANGE(""https://docs.google.com/spreadsheets/d/1QqKyyYR6Q21VydFLVH3TRQUabQu_ym0Zz7PgGX0-kHA/edit?usp=sharing"",""แผน!P36"")"),0)</f>
        <v>0</v>
      </c>
      <c r="J107" s="1024">
        <v>0</v>
      </c>
      <c r="K107" s="893">
        <f t="shared" ca="1" si="57"/>
        <v>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IFERROR(__xludf.DUMMYFUNCTION("IMPORTRANGE(""https://docs.google.com/spreadsheets/d/1QqKyyYR6Q21VydFLVH3TRQUabQu_ym0Zz7PgGX0-kHA/edit?usp=sharing"",""แผน!Q36"")"),0)</f>
        <v>0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IFERROR(__xludf.DUMMYFUNCTION("IMPORTRANGE(""https://docs.google.com/spreadsheets/d/1QqKyyYR6Q21VydFLVH3TRQUabQu_ym0Zz7PgGX0-kHA/edit?usp=sharing"",""แผน!Q36"")"),0)</f>
        <v>0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IFERROR(__xludf.DUMMYFUNCTION("IMPORTRANGE(""https://docs.google.com/spreadsheets/d/1QqKyyYR6Q21VydFLVH3TRQUabQu_ym0Zz7PgGX0-kHA/edit?usp=sharing"",""แผน!R36"")"),25)</f>
        <v>25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0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IFERROR(__xludf.DUMMYFUNCTION("IMPORTRANGE(""https://docs.google.com/spreadsheets/d/1QqKyyYR6Q21VydFLVH3TRQUabQu_ym0Zz7PgGX0-kHA/edit?usp=sharing"",""แผน!R36"")"),25)</f>
        <v>25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IFERROR(__xludf.DUMMYFUNCTION("IMPORTRANGE(""https://docs.google.com/spreadsheets/d/1QqKyyYR6Q21VydFLVH3TRQUabQu_ym0Zz7PgGX0-kHA/edit?usp=sharing"",""แผน!R36"")"),25)</f>
        <v>25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IFERROR(__xludf.DUMMYFUNCTION("IMPORTRANGE(""https://docs.google.com/spreadsheets/d/1QqKyyYR6Q21VydFLVH3TRQUabQu_ym0Zz7PgGX0-kHA/edit?usp=sharing"",""แผน!S36"")"),0)</f>
        <v>0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IFERROR(__xludf.DUMMYFUNCTION("IMPORTRANGE(""https://docs.google.com/spreadsheets/d/1QqKyyYR6Q21VydFLVH3TRQUabQu_ym0Zz7PgGX0-kHA/edit?usp=sharing"",""แผน!T36"")"),0)</f>
        <v>0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>
      <c r="A118" s="989"/>
      <c r="B118" s="990" t="s">
        <v>65</v>
      </c>
      <c r="C118" s="1038"/>
      <c r="D118" s="992"/>
      <c r="E118" s="991"/>
      <c r="F118" s="991"/>
      <c r="G118" s="993"/>
      <c r="H118" s="205" t="s">
        <v>66</v>
      </c>
      <c r="I118" s="1039">
        <v>2</v>
      </c>
      <c r="J118" s="1039">
        <f>J438+J440</f>
        <v>2</v>
      </c>
      <c r="K118" s="996">
        <f>IF(I118&gt;0,J118*100/I118,0)</f>
        <v>100</v>
      </c>
      <c r="L118" s="996"/>
      <c r="M118" s="996"/>
      <c r="N118" s="996"/>
      <c r="O118" s="996"/>
      <c r="P118" s="996"/>
    </row>
    <row r="119" spans="1:26" ht="19.5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17000</v>
      </c>
      <c r="M119" s="1004">
        <f t="shared" ca="1" si="60"/>
        <v>17000</v>
      </c>
      <c r="N119" s="1004">
        <f t="shared" ca="1" si="60"/>
        <v>17000</v>
      </c>
      <c r="O119" s="1004">
        <f t="shared" ref="O119:O127" ca="1" si="61">IF(L119&gt;0,N119*100/L119,0)</f>
        <v>100</v>
      </c>
      <c r="P119" s="1004">
        <f t="shared" ref="P119:P127" ca="1" si="62">IF(M119&gt;0,N119*100/M119,0)</f>
        <v>100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17000</v>
      </c>
      <c r="M121" s="899">
        <f t="shared" ca="1" si="63"/>
        <v>17000</v>
      </c>
      <c r="N121" s="899">
        <f t="shared" ca="1" si="63"/>
        <v>17000</v>
      </c>
      <c r="O121" s="899">
        <f t="shared" ca="1" si="61"/>
        <v>100</v>
      </c>
      <c r="P121" s="899">
        <f t="shared" ca="1" si="62"/>
        <v>100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IFERROR(__xludf.DUMMYFUNCTION("IMPORTRANGE(""https://docs.google.com/spreadsheets/d/1MeEWN-I1oV_STSDYn1IFDPWt_1FKiwhDph83XaGc0o0/edit?usp=sharing"",""งบพรบ!BA36"")"),0)</f>
        <v>0</v>
      </c>
      <c r="M124" s="899">
        <f ca="1">IFERROR(__xludf.DUMMYFUNCTION("IMPORTRANGE(""https://docs.google.com/spreadsheets/d/1MeEWN-I1oV_STSDYn1IFDPWt_1FKiwhDph83XaGc0o0/edit?usp=sharing"",""งบพรบ!BF36"")"),0)</f>
        <v>0</v>
      </c>
      <c r="N124" s="899">
        <f ca="1">IFERROR(__xludf.DUMMYFUNCTION("IMPORTRANGE(""https://docs.google.com/spreadsheets/d/1MeEWN-I1oV_STSDYn1IFDPWt_1FKiwhDph83XaGc0o0/edit?usp=sharing"",""งบพรบ!BH36"")"),0)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17000</v>
      </c>
      <c r="M125" s="893">
        <f t="shared" ca="1" si="65"/>
        <v>17000</v>
      </c>
      <c r="N125" s="893">
        <f t="shared" ca="1" si="65"/>
        <v>17000</v>
      </c>
      <c r="O125" s="893">
        <f t="shared" ca="1" si="61"/>
        <v>100</v>
      </c>
      <c r="P125" s="893">
        <f t="shared" ca="1" si="62"/>
        <v>100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IFERROR(__xludf.DUMMYFUNCTION("IMPORTRANGE(""https://docs.google.com/spreadsheets/d/1MeEWN-I1oV_STSDYn1IFDPWt_1FKiwhDph83XaGc0o0/edit?usp=sharing"",""งบพรบ!BD36"")"),17000)</f>
        <v>17000</v>
      </c>
      <c r="M127" s="899">
        <f ca="1">IFERROR(__xludf.DUMMYFUNCTION("IMPORTRANGE(""https://docs.google.com/spreadsheets/d/1MeEWN-I1oV_STSDYn1IFDPWt_1FKiwhDph83XaGc0o0/edit?usp=sharing"",""งบพรบ!BG36"")"),17000)</f>
        <v>17000</v>
      </c>
      <c r="N127" s="899">
        <f ca="1">IFERROR(__xludf.DUMMYFUNCTION("IMPORTRANGE(""https://docs.google.com/spreadsheets/d/1MeEWN-I1oV_STSDYn1IFDPWt_1FKiwhDph83XaGc0o0/edit?usp=sharing"",""งบพรบ!BI36"")"),17000)</f>
        <v>17000</v>
      </c>
      <c r="O127" s="899">
        <f t="shared" ca="1" si="61"/>
        <v>100</v>
      </c>
      <c r="P127" s="899">
        <f t="shared" ca="1" si="62"/>
        <v>100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2</v>
      </c>
      <c r="J130" s="994">
        <f t="shared" si="66"/>
        <v>2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20</v>
      </c>
      <c r="J131" s="994">
        <f t="shared" ca="1" si="68"/>
        <v>20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303310</v>
      </c>
      <c r="M132" s="1004">
        <f t="shared" ca="1" si="69"/>
        <v>293700</v>
      </c>
      <c r="N132" s="1004">
        <f t="shared" ca="1" si="69"/>
        <v>269455</v>
      </c>
      <c r="O132" s="1004">
        <f t="shared" ref="O132:O140" ca="1" si="70">IF(L132&gt;0,N132*100/L132,0)</f>
        <v>88.838152385348323</v>
      </c>
      <c r="P132" s="1004">
        <f t="shared" ref="P132:P140" ca="1" si="71">IF(M132&gt;0,N132*100/M132,0)</f>
        <v>91.744977868573372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303310</v>
      </c>
      <c r="M134" s="899">
        <f t="shared" ca="1" si="72"/>
        <v>293700</v>
      </c>
      <c r="N134" s="899">
        <f t="shared" ca="1" si="72"/>
        <v>269455</v>
      </c>
      <c r="O134" s="899">
        <f t="shared" ca="1" si="70"/>
        <v>88.838152385348323</v>
      </c>
      <c r="P134" s="899">
        <f t="shared" ca="1" si="71"/>
        <v>91.744977868573372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97310</v>
      </c>
      <c r="M135" s="893">
        <f t="shared" ca="1" si="73"/>
        <v>87700</v>
      </c>
      <c r="N135" s="893">
        <f t="shared" ca="1" si="73"/>
        <v>63455</v>
      </c>
      <c r="O135" s="893">
        <f t="shared" ca="1" si="70"/>
        <v>65.209125475285177</v>
      </c>
      <c r="P135" s="893">
        <f t="shared" ca="1" si="71"/>
        <v>72.35461801596351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IFERROR(__xludf.DUMMYFUNCTION("IMPORTRANGE(""https://docs.google.com/spreadsheets/d/1MeEWN-I1oV_STSDYn1IFDPWt_1FKiwhDph83XaGc0o0/edit?usp=sharing"",""งบพรบ!BK36"")"),97310)</f>
        <v>97310</v>
      </c>
      <c r="M137" s="899">
        <f ca="1">IFERROR(__xludf.DUMMYFUNCTION("IMPORTRANGE(""https://docs.google.com/spreadsheets/d/1MeEWN-I1oV_STSDYn1IFDPWt_1FKiwhDph83XaGc0o0/edit?usp=sharing"",""งบพรบ!BP36"")"),87700)</f>
        <v>87700</v>
      </c>
      <c r="N137" s="899">
        <f ca="1">IFERROR(__xludf.DUMMYFUNCTION("IMPORTRANGE(""https://docs.google.com/spreadsheets/d/1MeEWN-I1oV_STSDYn1IFDPWt_1FKiwhDph83XaGc0o0/edit?usp=sharing"",""งบพรบ!BR36"")"),63455)</f>
        <v>63455</v>
      </c>
      <c r="O137" s="899">
        <f t="shared" ca="1" si="70"/>
        <v>65.209125475285177</v>
      </c>
      <c r="P137" s="899">
        <f t="shared" ca="1" si="71"/>
        <v>72.35461801596351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206000</v>
      </c>
      <c r="M138" s="893">
        <f t="shared" ca="1" si="74"/>
        <v>206000</v>
      </c>
      <c r="N138" s="893">
        <f t="shared" ca="1" si="74"/>
        <v>206000</v>
      </c>
      <c r="O138" s="893">
        <f t="shared" ca="1" si="70"/>
        <v>100</v>
      </c>
      <c r="P138" s="893">
        <f t="shared" ca="1" si="71"/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IFERROR(__xludf.DUMMYFUNCTION("IMPORTRANGE(""https://docs.google.com/spreadsheets/d/1MeEWN-I1oV_STSDYn1IFDPWt_1FKiwhDph83XaGc0o0/edit?usp=sharing"",""งบพรบ!BN36"")"),206000)</f>
        <v>206000</v>
      </c>
      <c r="M140" s="899">
        <f ca="1">IFERROR(__xludf.DUMMYFUNCTION("IMPORTRANGE(""https://docs.google.com/spreadsheets/d/1MeEWN-I1oV_STSDYn1IFDPWt_1FKiwhDph83XaGc0o0/edit?usp=sharing"",""งบพรบ!BQ36"")"),206000)</f>
        <v>206000</v>
      </c>
      <c r="N140" s="899">
        <f ca="1">IFERROR(__xludf.DUMMYFUNCTION("IMPORTRANGE(""https://docs.google.com/spreadsheets/d/1MeEWN-I1oV_STSDYn1IFDPWt_1FKiwhDph83XaGc0o0/edit?usp=sharing"",""งบพรบ!BS36"")"),206000)</f>
        <v>206000</v>
      </c>
      <c r="O140" s="899">
        <f t="shared" ca="1" si="70"/>
        <v>100</v>
      </c>
      <c r="P140" s="899">
        <f t="shared" ca="1" si="71"/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20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20</v>
      </c>
      <c r="J143" s="892">
        <f ca="1">IF(AND(J144&gt;=I144,J145&gt;=I145),J145,0)</f>
        <v>20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IFERROR(__xludf.DUMMYFUNCTION("IMPORTRANGE(""https://docs.google.com/spreadsheets/d/1QqKyyYR6Q21VydFLVH3TRQUabQu_ym0Zz7PgGX0-kHA/edit?usp=sharing"",""แผน!U36"")"),10)</f>
        <v>10</v>
      </c>
      <c r="J144" s="1024">
        <v>10</v>
      </c>
      <c r="K144" s="893">
        <f t="shared" ca="1" si="75"/>
        <v>100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IFERROR(__xludf.DUMMYFUNCTION("IMPORTRANGE(""https://docs.google.com/spreadsheets/d/1QqKyyYR6Q21VydFLVH3TRQUabQu_ym0Zz7PgGX0-kHA/edit?usp=sharing"",""แผน!V36"")"),20)</f>
        <v>20</v>
      </c>
      <c r="J145" s="1024">
        <v>20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IFERROR(__xludf.DUMMYFUNCTION("IMPORTRANGE(""https://docs.google.com/spreadsheets/d/1QqKyyYR6Q21VydFLVH3TRQUabQu_ym0Zz7PgGX0-kHA/edit?usp=sharing"",""แผน!W36"")"),2)</f>
        <v>2</v>
      </c>
      <c r="J146" s="1024">
        <v>2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20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10000</v>
      </c>
      <c r="N149" s="1004">
        <f t="shared" ca="1" si="77"/>
        <v>6800</v>
      </c>
      <c r="O149" s="1004">
        <f t="shared" ref="O149:O157" ca="1" si="78">IF(L149&gt;0,N149*100/L149,0)</f>
        <v>68</v>
      </c>
      <c r="P149" s="1004">
        <f t="shared" ref="P149:P157" ca="1" si="79">IF(M149&gt;0,N149*100/M149,0)</f>
        <v>68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10000</v>
      </c>
      <c r="N151" s="899">
        <f t="shared" ca="1" si="80"/>
        <v>6800</v>
      </c>
      <c r="O151" s="899">
        <f t="shared" ca="1" si="78"/>
        <v>68</v>
      </c>
      <c r="P151" s="899">
        <f t="shared" ca="1" si="79"/>
        <v>68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10000</v>
      </c>
      <c r="N152" s="893">
        <f t="shared" ca="1" si="81"/>
        <v>6800</v>
      </c>
      <c r="O152" s="893">
        <f t="shared" ca="1" si="78"/>
        <v>68</v>
      </c>
      <c r="P152" s="893">
        <f t="shared" ca="1" si="79"/>
        <v>68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IFERROR(__xludf.DUMMYFUNCTION("IMPORTRANGE(""https://docs.google.com/spreadsheets/d/1MeEWN-I1oV_STSDYn1IFDPWt_1FKiwhDph83XaGc0o0/edit?usp=sharing"",""งบพรบ!BU36"")"),10000)</f>
        <v>10000</v>
      </c>
      <c r="M154" s="899">
        <f ca="1">IFERROR(__xludf.DUMMYFUNCTION("IMPORTRANGE(""https://docs.google.com/spreadsheets/d/1MeEWN-I1oV_STSDYn1IFDPWt_1FKiwhDph83XaGc0o0/edit?usp=sharing"",""งบพรบ!BZ36"")"),10000)</f>
        <v>10000</v>
      </c>
      <c r="N154" s="899">
        <f ca="1">IFERROR(__xludf.DUMMYFUNCTION("IMPORTRANGE(""https://docs.google.com/spreadsheets/d/1MeEWN-I1oV_STSDYn1IFDPWt_1FKiwhDph83XaGc0o0/edit?usp=sharing"",""งบพรบ!CB36"")"),6800)</f>
        <v>6800</v>
      </c>
      <c r="O154" s="899">
        <f t="shared" ca="1" si="78"/>
        <v>68</v>
      </c>
      <c r="P154" s="899">
        <f t="shared" ca="1" si="79"/>
        <v>68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IFERROR(__xludf.DUMMYFUNCTION("IMPORTRANGE(""https://docs.google.com/spreadsheets/d/1MeEWN-I1oV_STSDYn1IFDPWt_1FKiwhDph83XaGc0o0/edit?usp=sharing"",""งบพรบ!BX36"")"),0)</f>
        <v>0</v>
      </c>
      <c r="M157" s="899">
        <f ca="1">IFERROR(__xludf.DUMMYFUNCTION("IMPORTRANGE(""https://docs.google.com/spreadsheets/d/1MeEWN-I1oV_STSDYn1IFDPWt_1FKiwhDph83XaGc0o0/edit?usp=sharing"",""งบพรบ!CA36"")"),0)</f>
        <v>0</v>
      </c>
      <c r="N157" s="899">
        <f ca="1">IFERROR(__xludf.DUMMYFUNCTION("IMPORTRANGE(""https://docs.google.com/spreadsheets/d/1MeEWN-I1oV_STSDYn1IFDPWt_1FKiwhDph83XaGc0o0/edit?usp=sharing"",""งบพรบ!CC36"")"),0)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IFERROR(__xludf.DUMMYFUNCTION("IMPORTRANGE(""https://docs.google.com/spreadsheets/d/1QqKyyYR6Q21VydFLVH3TRQUabQu_ym0Zz7PgGX0-kHA/edit?usp=sharing"",""แผน!X36"")"),20)</f>
        <v>20</v>
      </c>
      <c r="J159" s="1024">
        <v>20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10</v>
      </c>
      <c r="J164" s="1073">
        <f t="shared" si="83"/>
        <v>10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21050</v>
      </c>
      <c r="M165" s="1004">
        <f t="shared" ca="1" si="84"/>
        <v>32080</v>
      </c>
      <c r="N165" s="1004">
        <f t="shared" ca="1" si="84"/>
        <v>32080</v>
      </c>
      <c r="O165" s="1004">
        <f t="shared" ref="O165:O173" ca="1" si="85">IF(L165&gt;0,N165*100/L165,0)</f>
        <v>152.39904988123516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21050</v>
      </c>
      <c r="M167" s="899">
        <f t="shared" ca="1" si="87"/>
        <v>32080</v>
      </c>
      <c r="N167" s="899">
        <f t="shared" ca="1" si="87"/>
        <v>32080</v>
      </c>
      <c r="O167" s="899">
        <f t="shared" ca="1" si="85"/>
        <v>152.39904988123516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21050</v>
      </c>
      <c r="M168" s="893">
        <f t="shared" ca="1" si="88"/>
        <v>32080</v>
      </c>
      <c r="N168" s="893">
        <f t="shared" ca="1" si="88"/>
        <v>32080</v>
      </c>
      <c r="O168" s="893">
        <f t="shared" ca="1" si="85"/>
        <v>152.39904988123516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IFERROR(__xludf.DUMMYFUNCTION("IMPORTRANGE(""https://docs.google.com/spreadsheets/d/1MeEWN-I1oV_STSDYn1IFDPWt_1FKiwhDph83XaGc0o0/edit?usp=sharing"",""งบพรบ!CE36"")"),21050)</f>
        <v>21050</v>
      </c>
      <c r="M170" s="899">
        <f ca="1">IFERROR(__xludf.DUMMYFUNCTION("IMPORTRANGE(""https://docs.google.com/spreadsheets/d/1MeEWN-I1oV_STSDYn1IFDPWt_1FKiwhDph83XaGc0o0/edit?usp=sharing"",""งบพรบ!CJ36"")"),32080)</f>
        <v>32080</v>
      </c>
      <c r="N170" s="899">
        <f ca="1">IFERROR(__xludf.DUMMYFUNCTION("IMPORTRANGE(""https://docs.google.com/spreadsheets/d/1MeEWN-I1oV_STSDYn1IFDPWt_1FKiwhDph83XaGc0o0/edit?usp=sharing"",""งบพรบ!CL36"")"),32080)</f>
        <v>32080</v>
      </c>
      <c r="O170" s="899">
        <f t="shared" ca="1" si="85"/>
        <v>152.39904988123516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IFERROR(__xludf.DUMMYFUNCTION("IMPORTRANGE(""https://docs.google.com/spreadsheets/d/1MeEWN-I1oV_STSDYn1IFDPWt_1FKiwhDph83XaGc0o0/edit?usp=sharing"",""งบพรบ!CH36"")"),0)</f>
        <v>0</v>
      </c>
      <c r="M173" s="899">
        <f ca="1">IFERROR(__xludf.DUMMYFUNCTION("IMPORTRANGE(""https://docs.google.com/spreadsheets/d/1MeEWN-I1oV_STSDYn1IFDPWt_1FKiwhDph83XaGc0o0/edit?usp=sharing"",""งบพรบ!CK36"")"),0)</f>
        <v>0</v>
      </c>
      <c r="N173" s="899">
        <f ca="1">IFERROR(__xludf.DUMMYFUNCTION("IMPORTRANGE(""https://docs.google.com/spreadsheets/d/1MeEWN-I1oV_STSDYn1IFDPWt_1FKiwhDph83XaGc0o0/edit?usp=sharing"",""งบพรบ!CM36"")"),0)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10</v>
      </c>
      <c r="J174" s="1080">
        <f t="shared" si="90"/>
        <v>10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IFERROR(__xludf.DUMMYFUNCTION("IMPORTRANGE(""https://docs.google.com/spreadsheets/d/1QqKyyYR6Q21VydFLVH3TRQUabQu_ym0Zz7PgGX0-kHA/edit?usp=sharing"",""แผน!Y36"")"),10)</f>
        <v>10</v>
      </c>
      <c r="J176" s="1024">
        <v>10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10</v>
      </c>
      <c r="J180" s="1073">
        <f t="shared" si="91"/>
        <v>10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583500</v>
      </c>
      <c r="M181" s="1004">
        <f t="shared" ca="1" si="92"/>
        <v>434000</v>
      </c>
      <c r="N181" s="1004">
        <f t="shared" ca="1" si="92"/>
        <v>278391.34999999998</v>
      </c>
      <c r="O181" s="1004">
        <f t="shared" ref="O181:O189" ca="1" si="93">IF(L181&gt;0,N181*100/L181,0)</f>
        <v>47.710599828620389</v>
      </c>
      <c r="P181" s="1004">
        <f t="shared" ref="P181:P189" ca="1" si="94">IF(M181&gt;0,N181*100/M181,0)</f>
        <v>64.145472350230406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583500</v>
      </c>
      <c r="M183" s="899">
        <f t="shared" ca="1" si="95"/>
        <v>434000</v>
      </c>
      <c r="N183" s="899">
        <f t="shared" ca="1" si="95"/>
        <v>278391.34999999998</v>
      </c>
      <c r="O183" s="899">
        <f t="shared" ca="1" si="93"/>
        <v>47.710599828620389</v>
      </c>
      <c r="P183" s="899">
        <f t="shared" ca="1" si="94"/>
        <v>64.145472350230406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583500</v>
      </c>
      <c r="M184" s="893">
        <f t="shared" ca="1" si="96"/>
        <v>434000</v>
      </c>
      <c r="N184" s="893">
        <f t="shared" ca="1" si="96"/>
        <v>278391.34999999998</v>
      </c>
      <c r="O184" s="893">
        <f t="shared" ca="1" si="93"/>
        <v>47.710599828620389</v>
      </c>
      <c r="P184" s="893">
        <f t="shared" ca="1" si="94"/>
        <v>64.145472350230406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IFERROR(__xludf.DUMMYFUNCTION("IMPORTRANGE(""https://docs.google.com/spreadsheets/d/1MeEWN-I1oV_STSDYn1IFDPWt_1FKiwhDph83XaGc0o0/edit?usp=sharing"",""งบพรบ!CO36"")"),583500)</f>
        <v>583500</v>
      </c>
      <c r="M186" s="899">
        <f ca="1">IFERROR(__xludf.DUMMYFUNCTION("IMPORTRANGE(""https://docs.google.com/spreadsheets/d/1MeEWN-I1oV_STSDYn1IFDPWt_1FKiwhDph83XaGc0o0/edit?usp=sharing"",""งบพรบ!CT36"")"),434000)</f>
        <v>434000</v>
      </c>
      <c r="N186" s="899">
        <f ca="1">IFERROR(__xludf.DUMMYFUNCTION("IMPORTRANGE(""https://docs.google.com/spreadsheets/d/1MeEWN-I1oV_STSDYn1IFDPWt_1FKiwhDph83XaGc0o0/edit?usp=sharing"",""งบพรบ!CV36"")"),278391.35)</f>
        <v>278391.34999999998</v>
      </c>
      <c r="O186" s="899">
        <f t="shared" ca="1" si="93"/>
        <v>47.710599828620389</v>
      </c>
      <c r="P186" s="899">
        <f t="shared" ca="1" si="94"/>
        <v>64.145472350230406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IFERROR(__xludf.DUMMYFUNCTION("IMPORTRANGE(""https://docs.google.com/spreadsheets/d/1MeEWN-I1oV_STSDYn1IFDPWt_1FKiwhDph83XaGc0o0/edit?usp=sharing"",""งบพรบ!CR36"")"),0)</f>
        <v>0</v>
      </c>
      <c r="M189" s="899">
        <f ca="1">IFERROR(__xludf.DUMMYFUNCTION("IMPORTRANGE(""https://docs.google.com/spreadsheets/d/1MeEWN-I1oV_STSDYn1IFDPWt_1FKiwhDph83XaGc0o0/edit?usp=sharing"",""งบพรบ!CU36"")"),0)</f>
        <v>0</v>
      </c>
      <c r="N189" s="899">
        <f ca="1">IFERROR(__xludf.DUMMYFUNCTION("IMPORTRANGE(""https://docs.google.com/spreadsheets/d/1MeEWN-I1oV_STSDYn1IFDPWt_1FKiwhDph83XaGc0o0/edit?usp=sharing"",""งบพรบ!CW36"")"),0)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IFERROR(__xludf.DUMMYFUNCTION("IMPORTRANGE(""https://docs.google.com/spreadsheets/d/1QqKyyYR6Q21VydFLVH3TRQUabQu_ym0Zz7PgGX0-kHA/edit?usp=sharing"",""แผน!Z36"")"),6000)</f>
        <v>6000</v>
      </c>
      <c r="M191" s="1004"/>
      <c r="N191" s="1092">
        <v>4070</v>
      </c>
      <c r="O191" s="1004">
        <f ca="1">IF(L191&gt;0,N191*100/L191,0)</f>
        <v>67.833333333333329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IFERROR(__xludf.DUMMYFUNCTION("IMPORTRANGE(""https://docs.google.com/spreadsheets/d/1QqKyyYR6Q21VydFLVH3TRQUabQu_ym0Zz7PgGX0-kHA/edit?usp=sharing"",""แผน!AC36"")"),4)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167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167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2</v>
      </c>
      <c r="J197" s="1089">
        <f t="shared" si="99"/>
        <v>2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26000</v>
      </c>
      <c r="M198" s="1004"/>
      <c r="N198" s="1004">
        <f>N199+N200+N201+N202</f>
        <v>26000</v>
      </c>
      <c r="O198" s="1004">
        <f ca="1">IF(L198&gt;0,N198*100/L198,0)</f>
        <v>100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IFERROR(__xludf.DUMMYFUNCTION("IMPORTRANGE(""https://docs.google.com/spreadsheets/d/1QqKyyYR6Q21VydFLVH3TRQUabQu_ym0Zz7PgGX0-kHA/edit?usp=sharing"",""แผน!AE36"")"),2000)</f>
        <v>2000</v>
      </c>
      <c r="M199" s="893"/>
      <c r="N199" s="1096">
        <v>2000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IFERROR(__xludf.DUMMYFUNCTION("IMPORTRANGE(""https://docs.google.com/spreadsheets/d/1QqKyyYR6Q21VydFLVH3TRQUabQu_ym0Zz7PgGX0-kHA/edit?usp=sharing"",""แผน!AF36"")"),16000)</f>
        <v>16000</v>
      </c>
      <c r="M200" s="893"/>
      <c r="N200" s="1096">
        <v>16000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IFERROR(__xludf.DUMMYFUNCTION("IMPORTRANGE(""https://docs.google.com/spreadsheets/d/1QqKyyYR6Q21VydFLVH3TRQUabQu_ym0Zz7PgGX0-kHA/edit?usp=sharing"",""แผน!AG36"")"),8000)</f>
        <v>8000</v>
      </c>
      <c r="M201" s="893"/>
      <c r="N201" s="1096">
        <v>8000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IFERROR(__xludf.DUMMYFUNCTION("IMPORTRANGE(""https://docs.google.com/spreadsheets/d/1QqKyyYR6Q21VydFLVH3TRQUabQu_ym0Zz7PgGX0-kHA/edit?usp=sharing"",""แผน!AH36"")"),0)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IFERROR(__xludf.DUMMYFUNCTION("IMPORTRANGE(""https://docs.google.com/spreadsheets/d/1QqKyyYR6Q21VydFLVH3TRQUabQu_ym0Zz7PgGX0-kHA/edit?usp=sharing"",""แผน!AI36"")"),2)</f>
        <v>2</v>
      </c>
      <c r="J204" s="1024">
        <v>2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2</v>
      </c>
      <c r="J206" s="1024">
        <v>2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IFERROR(__xludf.DUMMYFUNCTION("IMPORTRANGE(""https://docs.google.com/spreadsheets/d/1QqKyyYR6Q21VydFLVH3TRQUabQu_ym0Zz7PgGX0-kHA/edit?usp=sharing"",""แผน!AK36"")"),0)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IFERROR(__xludf.DUMMYFUNCTION("IMPORTRANGE(""https://docs.google.com/spreadsheets/d/1QqKyyYR6Q21VydFLVH3TRQUabQu_ym0Zz7PgGX0-kHA/edit?usp=sharing"",""แผน!AL36"")"),0)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IFERROR(__xludf.DUMMYFUNCTION("IMPORTRANGE(""https://docs.google.com/spreadsheets/d/1QqKyyYR6Q21VydFLVH3TRQUabQu_ym0Zz7PgGX0-kHA/edit?usp=sharing"",""แผน!AM36"")"),0)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IFERROR(__xludf.DUMMYFUNCTION("IMPORTRANGE(""https://docs.google.com/spreadsheets/d/1QqKyyYR6Q21VydFLVH3TRQUabQu_ym0Zz7PgGX0-kHA/edit?usp=sharing"",""แผน!AN36"")"),0)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IFERROR(__xludf.DUMMYFUNCTION("IMPORTRANGE(""https://docs.google.com/spreadsheets/d/1QqKyyYR6Q21VydFLVH3TRQUabQu_ym0Zz7PgGX0-kHA/edit?usp=sharing"",""แผน!AN36"")"),0)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70000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33500</v>
      </c>
      <c r="M217" s="1004"/>
      <c r="N217" s="1004">
        <f>N218+N219+N220</f>
        <v>10595</v>
      </c>
      <c r="O217" s="1004">
        <f ca="1">IF(L217&gt;0,N217*100/L217,0)</f>
        <v>31.626865671641792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IFERROR(__xludf.DUMMYFUNCTION("IMPORTRANGE(""https://docs.google.com/spreadsheets/d/1QqKyyYR6Q21VydFLVH3TRQUabQu_ym0Zz7PgGX0-kHA/edit?usp=sharing"",""แผน!AP36"")"),5000)</f>
        <v>5000</v>
      </c>
      <c r="M218" s="893"/>
      <c r="N218" s="1096">
        <v>595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IFERROR(__xludf.DUMMYFUNCTION("IMPORTRANGE(""https://docs.google.com/spreadsheets/d/1QqKyyYR6Q21VydFLVH3TRQUabQu_ym0Zz7PgGX0-kHA/edit?usp=sharing"",""แผน!AQ36"")"),18500)</f>
        <v>18500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IFERROR(__xludf.DUMMYFUNCTION("IMPORTRANGE(""https://docs.google.com/spreadsheets/d/1QqKyyYR6Q21VydFLVH3TRQUabQu_ym0Zz7PgGX0-kHA/edit?usp=sharing"",""แผน!AR36"")"),10000)</f>
        <v>10000</v>
      </c>
      <c r="M220" s="893"/>
      <c r="N220" s="1096">
        <v>10000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IFERROR(__xludf.DUMMYFUNCTION("IMPORTRANGE(""https://docs.google.com/spreadsheets/d/1QqKyyYR6Q21VydFLVH3TRQUabQu_ym0Zz7PgGX0-kHA/edit?usp=sharing"",""แผน!AT36"")"),70000)</f>
        <v>70000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IFERROR(__xludf.DUMMYFUNCTION("IMPORTRANGE(""https://docs.google.com/spreadsheets/d/1QqKyyYR6Q21VydFLVH3TRQUabQu_ym0Zz7PgGX0-kHA/edit?usp=sharing"",""แผน!AT36"")"),70000)</f>
        <v>70000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IFERROR(__xludf.DUMMYFUNCTION("IMPORTRANGE(""https://docs.google.com/spreadsheets/d/1QqKyyYR6Q21VydFLVH3TRQUabQu_ym0Zz7PgGX0-kHA/edit?usp=sharing"",""แผน!AS36"")"),10)</f>
        <v>10</v>
      </c>
      <c r="J225" s="1024">
        <v>10</v>
      </c>
      <c r="K225" s="1010">
        <f t="shared" ca="1" si="104"/>
        <v>100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IFERROR(__xludf.DUMMYFUNCTION("IMPORTRANGE(""https://docs.google.com/spreadsheets/d/1QqKyyYR6Q21VydFLVH3TRQUabQu_ym0Zz7PgGX0-kHA/edit?usp=sharing"",""แผน!AV36"")"),0)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IFERROR(__xludf.DUMMYFUNCTION("IMPORTRANGE(""https://docs.google.com/spreadsheets/d/1QqKyyYR6Q21VydFLVH3TRQUabQu_ym0Zz7PgGX0-kHA/edit?usp=sharing"",""แผน!AW36"")"),0)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IFERROR(__xludf.DUMMYFUNCTION("IMPORTRANGE(""https://docs.google.com/spreadsheets/d/1QqKyyYR6Q21VydFLVH3TRQUabQu_ym0Zz7PgGX0-kHA/edit?usp=sharing"",""แผน!AX36"")"),0)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IFERROR(__xludf.DUMMYFUNCTION("IMPORTRANGE(""https://docs.google.com/spreadsheets/d/1QqKyyYR6Q21VydFLVH3TRQUabQu_ym0Zz7PgGX0-kHA/edit?usp=sharing"",""แผน!AY36"")"),0)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IFERROR(__xludf.DUMMYFUNCTION("IMPORTRANGE(""https://docs.google.com/spreadsheets/d/1QqKyyYR6Q21VydFLVH3TRQUabQu_ym0Zz7PgGX0-kHA/edit?usp=sharing"",""แผน!BE36"")"),0)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IFERROR(__xludf.DUMMYFUNCTION("IMPORTRANGE(""https://docs.google.com/spreadsheets/d/1QqKyyYR6Q21VydFLVH3TRQUabQu_ym0Zz7PgGX0-kHA/edit?usp=sharing"",""แผน!AZ36"")"),0)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IFERROR(__xludf.DUMMYFUNCTION("IMPORTRANGE(""https://docs.google.com/spreadsheets/d/1QqKyyYR6Q21VydFLVH3TRQUabQu_ym0Zz7PgGX0-kHA/edit?usp=sharing"",""แผน!BA36"")"),0)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IFERROR(__xludf.DUMMYFUNCTION("IMPORTRANGE(""https://docs.google.com/spreadsheets/d/1QqKyyYR6Q21VydFLVH3TRQUabQu_ym0Zz7PgGX0-kHA/edit?usp=sharing"",""แผน!BB36"")"),0)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IFERROR(__xludf.DUMMYFUNCTION("IMPORTRANGE(""https://docs.google.com/spreadsheets/d/1QqKyyYR6Q21VydFLVH3TRQUabQu_ym0Zz7PgGX0-kHA/edit?usp=sharing"",""แผน!BC36"")"),0)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IFERROR(__xludf.DUMMYFUNCTION("IMPORTRANGE(""https://docs.google.com/spreadsheets/d/1QqKyyYR6Q21VydFLVH3TRQUabQu_ym0Zz7PgGX0-kHA/edit?usp=sharing"",""แผน!BF36"")"),0)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24</v>
      </c>
      <c r="J260" s="1073">
        <f t="shared" si="115"/>
        <v>24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28800</v>
      </c>
      <c r="M261" s="1004">
        <f t="shared" ca="1" si="116"/>
        <v>25800</v>
      </c>
      <c r="N261" s="1004">
        <f t="shared" ca="1" si="116"/>
        <v>25560</v>
      </c>
      <c r="O261" s="1004">
        <f t="shared" ref="O261:O269" ca="1" si="117">IF(L261&gt;0,N261*100/L261,0)</f>
        <v>88.75</v>
      </c>
      <c r="P261" s="1004">
        <f t="shared" ref="P261:P269" ca="1" si="118">IF(M261&gt;0,N261*100/M261,0)</f>
        <v>99.069767441860463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28800</v>
      </c>
      <c r="M263" s="899">
        <f t="shared" ca="1" si="119"/>
        <v>25800</v>
      </c>
      <c r="N263" s="899">
        <f t="shared" ca="1" si="119"/>
        <v>25560</v>
      </c>
      <c r="O263" s="899">
        <f t="shared" ca="1" si="117"/>
        <v>88.75</v>
      </c>
      <c r="P263" s="899">
        <f t="shared" ca="1" si="118"/>
        <v>99.069767441860463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28800</v>
      </c>
      <c r="M264" s="893">
        <f t="shared" ca="1" si="120"/>
        <v>25800</v>
      </c>
      <c r="N264" s="893">
        <f t="shared" ca="1" si="120"/>
        <v>25560</v>
      </c>
      <c r="O264" s="893">
        <f t="shared" ca="1" si="117"/>
        <v>88.75</v>
      </c>
      <c r="P264" s="893">
        <f t="shared" ca="1" si="118"/>
        <v>99.069767441860463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IFERROR(__xludf.DUMMYFUNCTION("IMPORTRANGE(""https://docs.google.com/spreadsheets/d/1MeEWN-I1oV_STSDYn1IFDPWt_1FKiwhDph83XaGc0o0/edit?usp=sharing"",""งบพรบ!CY36"")"),28800)</f>
        <v>28800</v>
      </c>
      <c r="M266" s="899">
        <f ca="1">IFERROR(__xludf.DUMMYFUNCTION("IMPORTRANGE(""https://docs.google.com/spreadsheets/d/1MeEWN-I1oV_STSDYn1IFDPWt_1FKiwhDph83XaGc0o0/edit?usp=sharing"",""งบพรบ!DD36"")"),25800)</f>
        <v>25800</v>
      </c>
      <c r="N266" s="899">
        <f ca="1">IFERROR(__xludf.DUMMYFUNCTION("IMPORTRANGE(""https://docs.google.com/spreadsheets/d/1MeEWN-I1oV_STSDYn1IFDPWt_1FKiwhDph83XaGc0o0/edit?usp=sharing"",""งบพรบ!DF36"")"),25560)</f>
        <v>25560</v>
      </c>
      <c r="O266" s="899">
        <f t="shared" ca="1" si="117"/>
        <v>88.75</v>
      </c>
      <c r="P266" s="899">
        <f t="shared" ca="1" si="118"/>
        <v>99.069767441860463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IFERROR(__xludf.DUMMYFUNCTION("IMPORTRANGE(""https://docs.google.com/spreadsheets/d/1MeEWN-I1oV_STSDYn1IFDPWt_1FKiwhDph83XaGc0o0/edit?usp=sharing"",""งบพรบ!DB36"")"),0)</f>
        <v>0</v>
      </c>
      <c r="M269" s="899">
        <f ca="1">IFERROR(__xludf.DUMMYFUNCTION("IMPORTRANGE(""https://docs.google.com/spreadsheets/d/1MeEWN-I1oV_STSDYn1IFDPWt_1FKiwhDph83XaGc0o0/edit?usp=sharing"",""งบพรบ!DE36"")"),0)</f>
        <v>0</v>
      </c>
      <c r="N269" s="899">
        <f ca="1">IFERROR(__xludf.DUMMYFUNCTION("IMPORTRANGE(""https://docs.google.com/spreadsheets/d/1MeEWN-I1oV_STSDYn1IFDPWt_1FKiwhDph83XaGc0o0/edit?usp=sharing"",""งบพรบ!DG36"")"),0)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IFERROR(__xludf.DUMMYFUNCTION("IMPORTRANGE(""https://docs.google.com/spreadsheets/d/1QqKyyYR6Q21VydFLVH3TRQUabQu_ym0Zz7PgGX0-kHA/edit?usp=sharing"",""แผน!EA36"")"),24)</f>
        <v>24</v>
      </c>
      <c r="J271" s="1024">
        <v>24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40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400</v>
      </c>
      <c r="J276" s="1170">
        <f t="shared" si="124"/>
        <v>400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147030</v>
      </c>
      <c r="M277" s="1004">
        <f t="shared" ca="1" si="125"/>
        <v>70790</v>
      </c>
      <c r="N277" s="1004">
        <f t="shared" ca="1" si="125"/>
        <v>57120</v>
      </c>
      <c r="O277" s="1004">
        <f t="shared" ref="O277:O285" ca="1" si="126">IF(L277&gt;0,N277*100/L277,0)</f>
        <v>38.849214446031425</v>
      </c>
      <c r="P277" s="1004">
        <f t="shared" ref="P277:P285" ca="1" si="127">IF(M277&gt;0,N277*100/M277,0)</f>
        <v>80.689362904365026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147030</v>
      </c>
      <c r="M279" s="899">
        <f t="shared" ca="1" si="128"/>
        <v>70790</v>
      </c>
      <c r="N279" s="899">
        <f t="shared" ca="1" si="128"/>
        <v>57120</v>
      </c>
      <c r="O279" s="899">
        <f t="shared" ca="1" si="126"/>
        <v>38.849214446031425</v>
      </c>
      <c r="P279" s="899">
        <f t="shared" ca="1" si="127"/>
        <v>80.689362904365026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147030</v>
      </c>
      <c r="M280" s="893">
        <f t="shared" ca="1" si="129"/>
        <v>70790</v>
      </c>
      <c r="N280" s="893">
        <f t="shared" ca="1" si="129"/>
        <v>57120</v>
      </c>
      <c r="O280" s="893">
        <f t="shared" ca="1" si="126"/>
        <v>38.849214446031425</v>
      </c>
      <c r="P280" s="893">
        <f t="shared" ca="1" si="127"/>
        <v>80.689362904365026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IFERROR(__xludf.DUMMYFUNCTION("IMPORTRANGE(""https://docs.google.com/spreadsheets/d/1MeEWN-I1oV_STSDYn1IFDPWt_1FKiwhDph83XaGc0o0/edit?usp=sharing"",""งบพรบ!DI36"")"),147030)</f>
        <v>147030</v>
      </c>
      <c r="M282" s="899">
        <f ca="1">IFERROR(__xludf.DUMMYFUNCTION("IMPORTRANGE(""https://docs.google.com/spreadsheets/d/1MeEWN-I1oV_STSDYn1IFDPWt_1FKiwhDph83XaGc0o0/edit?usp=sharing"",""งบพรบ!DN36"")"),70790)</f>
        <v>70790</v>
      </c>
      <c r="N282" s="899">
        <f ca="1">IFERROR(__xludf.DUMMYFUNCTION("IMPORTRANGE(""https://docs.google.com/spreadsheets/d/1MeEWN-I1oV_STSDYn1IFDPWt_1FKiwhDph83XaGc0o0/edit?usp=sharing"",""งบพรบ!DP36"")"),57120)</f>
        <v>57120</v>
      </c>
      <c r="O282" s="899">
        <f t="shared" ca="1" si="126"/>
        <v>38.849214446031425</v>
      </c>
      <c r="P282" s="899">
        <f t="shared" ca="1" si="127"/>
        <v>80.689362904365026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IFERROR(__xludf.DUMMYFUNCTION("IMPORTRANGE(""https://docs.google.com/spreadsheets/d/1MeEWN-I1oV_STSDYn1IFDPWt_1FKiwhDph83XaGc0o0/edit?usp=sharing"",""งบพรบ!DL36"")"),0)</f>
        <v>0</v>
      </c>
      <c r="M285" s="899">
        <f ca="1">IFERROR(__xludf.DUMMYFUNCTION("IMPORTRANGE(""https://docs.google.com/spreadsheets/d/1MeEWN-I1oV_STSDYn1IFDPWt_1FKiwhDph83XaGc0o0/edit?usp=sharing"",""งบพรบ!DO36"")"),0)</f>
        <v>0</v>
      </c>
      <c r="N285" s="899">
        <f ca="1">IFERROR(__xludf.DUMMYFUNCTION("IMPORTRANGE(""https://docs.google.com/spreadsheets/d/1MeEWN-I1oV_STSDYn1IFDPWt_1FKiwhDph83XaGc0o0/edit?usp=sharing"",""งบพรบ!DQ36"")"),0)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IFERROR(__xludf.DUMMYFUNCTION("IMPORTRANGE(""https://docs.google.com/spreadsheets/d/1QqKyyYR6Q21VydFLVH3TRQUabQu_ym0Zz7PgGX0-kHA/edit?usp=sharing"",""แผน!EC36"")"),400)</f>
        <v>400</v>
      </c>
      <c r="J287" s="1024">
        <v>400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IFERROR(__xludf.DUMMYFUNCTION("IMPORTRANGE(""https://docs.google.com/spreadsheets/d/1QqKyyYR6Q21VydFLVH3TRQUabQu_ym0Zz7PgGX0-kHA/edit?usp=sharing"",""แผน!EB36"")"),40)</f>
        <v>40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IFERROR(__xludf.DUMMYFUNCTION("IMPORTRANGE(""https://docs.google.com/spreadsheets/d/1QqKyyYR6Q21VydFLVH3TRQUabQu_ym0Zz7PgGX0-kHA/edit?usp=sharing"",""แผน!EB36"")"),40)</f>
        <v>40</v>
      </c>
      <c r="J290" s="1024">
        <v>40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IFERROR(__xludf.DUMMYFUNCTION("IMPORTRANGE(""https://docs.google.com/spreadsheets/d/1QqKyyYR6Q21VydFLVH3TRQUabQu_ym0Zz7PgGX0-kHA/edit?usp=sharing"",""แผน!EB36"")"),40)</f>
        <v>40</v>
      </c>
      <c r="J291" s="1024">
        <v>40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IFERROR(__xludf.DUMMYFUNCTION("IMPORTRANGE(""https://docs.google.com/spreadsheets/d/1QqKyyYR6Q21VydFLVH3TRQUabQu_ym0Zz7PgGX0-kHA/edit?usp=sharing"",""แผน!EB36"")"),40)</f>
        <v>40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IFERROR(__xludf.DUMMYFUNCTION("IMPORTRANGE(""https://docs.google.com/spreadsheets/d/1QqKyyYR6Q21VydFLVH3TRQUabQu_ym0Zz7PgGX0-kHA/edit?usp=sharing"",""แผน!EB36"")"),40)</f>
        <v>40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25</v>
      </c>
      <c r="J297" s="1202">
        <f t="shared" si="134"/>
        <v>25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101000</v>
      </c>
      <c r="M298" s="1004">
        <f t="shared" ca="1" si="135"/>
        <v>78500</v>
      </c>
      <c r="N298" s="1004">
        <f t="shared" ca="1" si="135"/>
        <v>78500</v>
      </c>
      <c r="O298" s="1004">
        <f t="shared" ref="O298:O306" ca="1" si="136">IF(L298&gt;0,N298*100/L298,0)</f>
        <v>77.722772277227719</v>
      </c>
      <c r="P298" s="1004">
        <f t="shared" ref="P298:P306" ca="1" si="137">IF(M298&gt;0,N298*100/M298,0)</f>
        <v>100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101000</v>
      </c>
      <c r="M300" s="899">
        <f t="shared" ca="1" si="138"/>
        <v>78500</v>
      </c>
      <c r="N300" s="899">
        <f t="shared" ca="1" si="138"/>
        <v>78500</v>
      </c>
      <c r="O300" s="899">
        <f t="shared" ca="1" si="136"/>
        <v>77.722772277227719</v>
      </c>
      <c r="P300" s="899">
        <f t="shared" ca="1" si="137"/>
        <v>100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101000</v>
      </c>
      <c r="M301" s="893">
        <f t="shared" ca="1" si="139"/>
        <v>78500</v>
      </c>
      <c r="N301" s="893">
        <f t="shared" ca="1" si="139"/>
        <v>78500</v>
      </c>
      <c r="O301" s="893">
        <f t="shared" ca="1" si="136"/>
        <v>77.722772277227719</v>
      </c>
      <c r="P301" s="893">
        <f t="shared" ca="1" si="137"/>
        <v>100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IFERROR(__xludf.DUMMYFUNCTION("IMPORTRANGE(""https://docs.google.com/spreadsheets/d/1MeEWN-I1oV_STSDYn1IFDPWt_1FKiwhDph83XaGc0o0/edit?usp=sharing"",""งบพรบ!DS36"")"),101000)</f>
        <v>101000</v>
      </c>
      <c r="M303" s="899">
        <f ca="1">IFERROR(__xludf.DUMMYFUNCTION("IMPORTRANGE(""https://docs.google.com/spreadsheets/d/1MeEWN-I1oV_STSDYn1IFDPWt_1FKiwhDph83XaGc0o0/edit?usp=sharing"",""งบพรบ!DX36"")"),78500)</f>
        <v>78500</v>
      </c>
      <c r="N303" s="899">
        <f ca="1">IFERROR(__xludf.DUMMYFUNCTION("IMPORTRANGE(""https://docs.google.com/spreadsheets/d/1MeEWN-I1oV_STSDYn1IFDPWt_1FKiwhDph83XaGc0o0/edit?usp=sharing"",""งบพรบ!DZ36"")"),78500)</f>
        <v>78500</v>
      </c>
      <c r="O303" s="899">
        <f t="shared" ca="1" si="136"/>
        <v>77.722772277227719</v>
      </c>
      <c r="P303" s="899">
        <f t="shared" ca="1" si="137"/>
        <v>100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IFERROR(__xludf.DUMMYFUNCTION("IMPORTRANGE(""https://docs.google.com/spreadsheets/d/1MeEWN-I1oV_STSDYn1IFDPWt_1FKiwhDph83XaGc0o0/edit?usp=sharing"",""งบพรบ!DV36"")"),0)</f>
        <v>0</v>
      </c>
      <c r="M306" s="899">
        <f ca="1">IFERROR(__xludf.DUMMYFUNCTION("IMPORTRANGE(""https://docs.google.com/spreadsheets/d/1MeEWN-I1oV_STSDYn1IFDPWt_1FKiwhDph83XaGc0o0/edit?usp=sharing"",""งบพรบ!DY36"")"),0)</f>
        <v>0</v>
      </c>
      <c r="N306" s="899">
        <f ca="1">IFERROR(__xludf.DUMMYFUNCTION("IMPORTRANGE(""https://docs.google.com/spreadsheets/d/1MeEWN-I1oV_STSDYn1IFDPWt_1FKiwhDph83XaGc0o0/edit?usp=sharing"",""งบพรบ!EA36"")"),0)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IFERROR(__xludf.DUMMYFUNCTION("IMPORTRANGE(""https://docs.google.com/spreadsheets/d/1QqKyyYR6Q21VydFLVH3TRQUabQu_ym0Zz7PgGX0-kHA/edit?usp=sharing"",""แผน!ED36"")"),25)</f>
        <v>25</v>
      </c>
      <c r="J309" s="1024">
        <v>25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IFERROR(__xludf.DUMMYFUNCTION("IMPORTRANGE(""https://docs.google.com/spreadsheets/d/1QqKyyYR6Q21VydFLVH3TRQUabQu_ym0Zz7PgGX0-kHA/edit?usp=sharing"",""แผน!ED36"")"),25)</f>
        <v>25</v>
      </c>
      <c r="J310" s="1024">
        <v>25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IFERROR(__xludf.DUMMYFUNCTION("IMPORTRANGE(""https://docs.google.com/spreadsheets/d/1QqKyyYR6Q21VydFLVH3TRQUabQu_ym0Zz7PgGX0-kHA/edit?usp=sharing"",""แผน!ED36"")"),25)</f>
        <v>25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IFERROR(__xludf.DUMMYFUNCTION("IMPORTRANGE(""https://docs.google.com/spreadsheets/d/1QqKyyYR6Q21VydFLVH3TRQUabQu_ym0Zz7PgGX0-kHA/edit?usp=sharing"",""แผน!EE36"")"),5)</f>
        <v>5</v>
      </c>
      <c r="J312" s="1024">
        <v>5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2</v>
      </c>
      <c r="J314" s="1202">
        <f t="shared" si="142"/>
        <v>2</v>
      </c>
      <c r="K314" s="1203">
        <f ca="1">IF(I314&gt;0,J314*100/I314,0)</f>
        <v>100</v>
      </c>
      <c r="L314" s="1204"/>
      <c r="M314" s="1204"/>
      <c r="N314" s="1204"/>
      <c r="O314" s="1204"/>
      <c r="P314" s="1204"/>
    </row>
    <row r="315" spans="1:26" ht="19.5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439000</v>
      </c>
      <c r="M315" s="1004">
        <f t="shared" ca="1" si="143"/>
        <v>322500</v>
      </c>
      <c r="N315" s="1004">
        <f t="shared" ca="1" si="143"/>
        <v>223733.15</v>
      </c>
      <c r="O315" s="1004">
        <f t="shared" ref="O315:O323" ca="1" si="144">IF(L315&gt;0,N315*100/L315,0)</f>
        <v>50.964271070615034</v>
      </c>
      <c r="P315" s="1004">
        <f t="shared" ref="P315:P323" ca="1" si="145">IF(M315&gt;0,N315*100/M315,0)</f>
        <v>69.374620155038755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439000</v>
      </c>
      <c r="M317" s="899">
        <f t="shared" ca="1" si="146"/>
        <v>322500</v>
      </c>
      <c r="N317" s="899">
        <f t="shared" ca="1" si="146"/>
        <v>223733.15</v>
      </c>
      <c r="O317" s="899">
        <f t="shared" ca="1" si="144"/>
        <v>50.964271070615034</v>
      </c>
      <c r="P317" s="899">
        <f t="shared" ca="1" si="145"/>
        <v>69.374620155038755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439000</v>
      </c>
      <c r="M318" s="893">
        <f t="shared" ca="1" si="147"/>
        <v>322500</v>
      </c>
      <c r="N318" s="893">
        <f t="shared" ca="1" si="147"/>
        <v>223733.15</v>
      </c>
      <c r="O318" s="893">
        <f t="shared" ca="1" si="144"/>
        <v>50.964271070615034</v>
      </c>
      <c r="P318" s="893">
        <f t="shared" ca="1" si="145"/>
        <v>69.374620155038755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IFERROR(__xludf.DUMMYFUNCTION("IMPORTRANGE(""https://docs.google.com/spreadsheets/d/1MeEWN-I1oV_STSDYn1IFDPWt_1FKiwhDph83XaGc0o0/edit?usp=sharing"",""งบพรบ!EC36"")"),439000)</f>
        <v>439000</v>
      </c>
      <c r="M320" s="899">
        <f ca="1">IFERROR(__xludf.DUMMYFUNCTION("IMPORTRANGE(""https://docs.google.com/spreadsheets/d/1MeEWN-I1oV_STSDYn1IFDPWt_1FKiwhDph83XaGc0o0/edit?usp=sharing"",""งบพรบ!EH36"")"),322500)</f>
        <v>322500</v>
      </c>
      <c r="N320" s="899">
        <f ca="1">IFERROR(__xludf.DUMMYFUNCTION("IMPORTRANGE(""https://docs.google.com/spreadsheets/d/1MeEWN-I1oV_STSDYn1IFDPWt_1FKiwhDph83XaGc0o0/edit?usp=sharing"",""งบพรบ!EJ36"")"),223733.15)</f>
        <v>223733.15</v>
      </c>
      <c r="O320" s="899">
        <f t="shared" ca="1" si="144"/>
        <v>50.964271070615034</v>
      </c>
      <c r="P320" s="899">
        <f t="shared" ca="1" si="145"/>
        <v>69.374620155038755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IFERROR(__xludf.DUMMYFUNCTION("IMPORTRANGE(""https://docs.google.com/spreadsheets/d/1MeEWN-I1oV_STSDYn1IFDPWt_1FKiwhDph83XaGc0o0/edit?usp=sharing"",""งบพรบ!EF36"")"),0)</f>
        <v>0</v>
      </c>
      <c r="M323" s="899">
        <f ca="1">IFERROR(__xludf.DUMMYFUNCTION("IMPORTRANGE(""https://docs.google.com/spreadsheets/d/1MeEWN-I1oV_STSDYn1IFDPWt_1FKiwhDph83XaGc0o0/edit?usp=sharing"",""งบพรบ!EI36"")"),0)</f>
        <v>0</v>
      </c>
      <c r="N323" s="899">
        <f ca="1">IFERROR(__xludf.DUMMYFUNCTION("IMPORTRANGE(""https://docs.google.com/spreadsheets/d/1MeEWN-I1oV_STSDYn1IFDPWt_1FKiwhDph83XaGc0o0/edit?usp=sharing"",""งบพรบ!EK36"")"),0)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IFERROR(__xludf.DUMMYFUNCTION("IMPORTRANGE(""https://docs.google.com/spreadsheets/d/1QqKyyYR6Q21VydFLVH3TRQUabQu_ym0Zz7PgGX0-kHA/edit?usp=sharing"",""แผน!EF36"")"),2)</f>
        <v>2</v>
      </c>
      <c r="J325" s="1024">
        <v>2</v>
      </c>
      <c r="K325" s="893">
        <f ca="1">IF(I325&gt;0,J325*100/I325,0)</f>
        <v>100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IFERROR(__xludf.DUMMYFUNCTION("IMPORTRANGE(""https://docs.google.com/spreadsheets/d/1QqKyyYR6Q21VydFLVH3TRQUabQu_ym0Zz7PgGX0-kHA/edit?usp=sharing"",""แผน!EG36"")"),8620)</f>
        <v>8620</v>
      </c>
      <c r="J327" s="1202">
        <f ca="1">J338+J341+J342+J343</f>
        <v>6001</v>
      </c>
      <c r="K327" s="1203">
        <f ca="1">IF(I327&gt;0,J327*100/I327,0)</f>
        <v>69.617169373549885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198000</v>
      </c>
      <c r="M328" s="1004">
        <f t="shared" ca="1" si="149"/>
        <v>151000</v>
      </c>
      <c r="N328" s="1004">
        <f t="shared" ca="1" si="149"/>
        <v>99452.67</v>
      </c>
      <c r="O328" s="1004">
        <f t="shared" ref="O328:O336" ca="1" si="150">IF(L328&gt;0,N328*100/L328,0)</f>
        <v>50.228621212121212</v>
      </c>
      <c r="P328" s="1004">
        <f t="shared" ref="P328:P336" ca="1" si="151">IF(M328&gt;0,N328*100/M328,0)</f>
        <v>65.862695364238405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198000</v>
      </c>
      <c r="M330" s="899">
        <f t="shared" ca="1" si="152"/>
        <v>151000</v>
      </c>
      <c r="N330" s="899">
        <f t="shared" ca="1" si="152"/>
        <v>99452.67</v>
      </c>
      <c r="O330" s="899">
        <f t="shared" ca="1" si="150"/>
        <v>50.228621212121212</v>
      </c>
      <c r="P330" s="899">
        <f t="shared" ca="1" si="151"/>
        <v>65.862695364238405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198000</v>
      </c>
      <c r="M331" s="893">
        <f t="shared" ca="1" si="153"/>
        <v>151000</v>
      </c>
      <c r="N331" s="893">
        <f t="shared" ca="1" si="153"/>
        <v>99452.67</v>
      </c>
      <c r="O331" s="893">
        <f t="shared" ca="1" si="150"/>
        <v>50.228621212121212</v>
      </c>
      <c r="P331" s="893">
        <f t="shared" ca="1" si="151"/>
        <v>65.862695364238405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IFERROR(__xludf.DUMMYFUNCTION("IMPORTRANGE(""https://docs.google.com/spreadsheets/d/1MeEWN-I1oV_STSDYn1IFDPWt_1FKiwhDph83XaGc0o0/edit?usp=sharing"",""งบพรบ!EM36"")"),198000)</f>
        <v>198000</v>
      </c>
      <c r="M333" s="899">
        <f ca="1">IFERROR(__xludf.DUMMYFUNCTION("IMPORTRANGE(""https://docs.google.com/spreadsheets/d/1MeEWN-I1oV_STSDYn1IFDPWt_1FKiwhDph83XaGc0o0/edit?usp=sharing"",""งบพรบ!ER36"")"),151000)</f>
        <v>151000</v>
      </c>
      <c r="N333" s="899">
        <f ca="1">IFERROR(__xludf.DUMMYFUNCTION("IMPORTRANGE(""https://docs.google.com/spreadsheets/d/1MeEWN-I1oV_STSDYn1IFDPWt_1FKiwhDph83XaGc0o0/edit?usp=sharing"",""งบพรบ!ET36"")"),99452.67)</f>
        <v>99452.67</v>
      </c>
      <c r="O333" s="899">
        <f t="shared" ca="1" si="150"/>
        <v>50.228621212121212</v>
      </c>
      <c r="P333" s="899">
        <f t="shared" ca="1" si="151"/>
        <v>65.862695364238405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IFERROR(__xludf.DUMMYFUNCTION("IMPORTRANGE(""https://docs.google.com/spreadsheets/d/1MeEWN-I1oV_STSDYn1IFDPWt_1FKiwhDph83XaGc0o0/edit?usp=sharing"",""งบพรบ!EP36"")"),0)</f>
        <v>0</v>
      </c>
      <c r="M336" s="899">
        <f ca="1">IFERROR(__xludf.DUMMYFUNCTION("IMPORTRANGE(""https://docs.google.com/spreadsheets/d/1MeEWN-I1oV_STSDYn1IFDPWt_1FKiwhDph83XaGc0o0/edit?usp=sharing"",""งบพรบ!ES36"")"),0)</f>
        <v>0</v>
      </c>
      <c r="N336" s="899">
        <f ca="1">IFERROR(__xludf.DUMMYFUNCTION("IMPORTRANGE(""https://docs.google.com/spreadsheets/d/1MeEWN-I1oV_STSDYn1IFDPWt_1FKiwhDph83XaGc0o0/edit?usp=sharing"",""งบพรบ!EU36"")"),0)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IFERROR(__xludf.DUMMYFUNCTION("IMPORTRANGE(""https://docs.google.com/spreadsheets/d/1QqKyyYR6Q21VydFLVH3TRQUabQu_ym0Zz7PgGX0-kHA/edit?usp=sharing"",""แผน!EG36"")"),8620)</f>
        <v>8620</v>
      </c>
      <c r="J338" s="892">
        <f ca="1">IFERROR(__xludf.DUMMYFUNCTION("IMPORTRANGE(""https://docs.google.com/spreadsheets/d/1kVcqe37tkHyjCSG3S0O1AXqVkqjo8mSIZil3BcpIysc/edit?usp=sharing"",""ศูนย์!D36"")"),5243)</f>
        <v>5243</v>
      </c>
      <c r="K338" s="893">
        <f ca="1">IF(I338&gt;0,J338*100/I338,0)</f>
        <v>60.82366589327146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IFERROR(__xludf.DUMMYFUNCTION("IMPORTRANGE(""https://docs.google.com/spreadsheets/d/1QqKyyYR6Q21VydFLVH3TRQUabQu_ym0Zz7PgGX0-kHA/edit?usp=sharing"",""แผน!EH36"")"),15)</f>
        <v>15</v>
      </c>
      <c r="J340" s="892">
        <f ca="1">IFERROR(__xludf.DUMMYFUNCTION("IMPORTRANGE(""https://docs.google.com/spreadsheets/d/1kVcqe37tkHyjCSG3S0O1AXqVkqjo8mSIZil3BcpIysc/edit?usp=sharing"",""ศูนย์!E36"")"),7)</f>
        <v>7</v>
      </c>
      <c r="K340" s="893">
        <f ca="1">IF(I340&gt;0,J340*100/I340,0)</f>
        <v>46.666666666666664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IFERROR(__xludf.DUMMYFUNCTION("IMPORTRANGE(""https://docs.google.com/spreadsheets/d/1kVcqe37tkHyjCSG3S0O1AXqVkqjo8mSIZil3BcpIysc/edit?usp=sharing"",""ศูนย์!F36"")"),752)</f>
        <v>752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IFERROR(__xludf.DUMMYFUNCTION("IMPORTRANGE(""https://docs.google.com/spreadsheets/d/1kVcqe37tkHyjCSG3S0O1AXqVkqjo8mSIZil3BcpIysc/edit?usp=sharing"",""ศูนย์!G36"")"),0)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IFERROR(__xludf.DUMMYFUNCTION("IMPORTRANGE(""https://docs.google.com/spreadsheets/d/1kVcqe37tkHyjCSG3S0O1AXqVkqjo8mSIZil3BcpIysc/edit?usp=sharing"",""ศูนย์!H36"")"),6)</f>
        <v>6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2798010</v>
      </c>
      <c r="M345" s="1004">
        <f t="shared" ca="1" si="155"/>
        <v>2370620</v>
      </c>
      <c r="N345" s="1004">
        <f t="shared" ca="1" si="155"/>
        <v>1404503.42</v>
      </c>
      <c r="O345" s="1004">
        <f t="shared" ref="O345:O353" ca="1" si="156">IF(L345&gt;0,N345*100/L345,0)</f>
        <v>50.196511806605407</v>
      </c>
      <c r="P345" s="1004">
        <f t="shared" ref="P345:P353" ca="1" si="157">IF(M345&gt;0,N345*100/M345,0)</f>
        <v>59.246248660687918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2798010</v>
      </c>
      <c r="M347" s="899">
        <f t="shared" ca="1" si="158"/>
        <v>2370620</v>
      </c>
      <c r="N347" s="899">
        <f t="shared" ca="1" si="158"/>
        <v>1404503.42</v>
      </c>
      <c r="O347" s="899">
        <f t="shared" ca="1" si="156"/>
        <v>50.196511806605407</v>
      </c>
      <c r="P347" s="899">
        <f t="shared" ca="1" si="157"/>
        <v>59.246248660687918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2639610</v>
      </c>
      <c r="M348" s="893">
        <f t="shared" ca="1" si="159"/>
        <v>2212220</v>
      </c>
      <c r="N348" s="893">
        <f t="shared" ca="1" si="159"/>
        <v>1246103.42</v>
      </c>
      <c r="O348" s="893">
        <f t="shared" ca="1" si="156"/>
        <v>47.207861009770383</v>
      </c>
      <c r="P348" s="893">
        <f t="shared" ca="1" si="157"/>
        <v>56.32818707000208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IFERROR(__xludf.DUMMYFUNCTION("IMPORTRANGE(""https://docs.google.com/spreadsheets/d/1MeEWN-I1oV_STSDYn1IFDPWt_1FKiwhDph83XaGc0o0/edit?usp=sharing"",""งบพรบ!EW36"")"),2639610)</f>
        <v>2639610</v>
      </c>
      <c r="M350" s="899">
        <f ca="1">IFERROR(__xludf.DUMMYFUNCTION("IMPORTRANGE(""https://docs.google.com/spreadsheets/d/1MeEWN-I1oV_STSDYn1IFDPWt_1FKiwhDph83XaGc0o0/edit?usp=sharing"",""งบพรบ!FB36"")"),2212220)</f>
        <v>2212220</v>
      </c>
      <c r="N350" s="899">
        <f ca="1">IFERROR(__xludf.DUMMYFUNCTION("IMPORTRANGE(""https://docs.google.com/spreadsheets/d/1MeEWN-I1oV_STSDYn1IFDPWt_1FKiwhDph83XaGc0o0/edit?usp=sharing"",""งบพรบ!FD36"")"),1246103.42)</f>
        <v>1246103.42</v>
      </c>
      <c r="O350" s="899">
        <f t="shared" ca="1" si="156"/>
        <v>47.207861009770383</v>
      </c>
      <c r="P350" s="899">
        <f t="shared" ca="1" si="157"/>
        <v>56.32818707000208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158400</v>
      </c>
      <c r="M351" s="893">
        <f t="shared" ca="1" si="160"/>
        <v>158400</v>
      </c>
      <c r="N351" s="893">
        <f t="shared" ca="1" si="160"/>
        <v>158400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IFERROR(__xludf.DUMMYFUNCTION("IMPORTRANGE(""https://docs.google.com/spreadsheets/d/1MeEWN-I1oV_STSDYn1IFDPWt_1FKiwhDph83XaGc0o0/edit?usp=sharing"",""งบพรบ!EZ36"")"),158400)</f>
        <v>158400</v>
      </c>
      <c r="M353" s="899">
        <f ca="1">IFERROR(__xludf.DUMMYFUNCTION("IMPORTRANGE(""https://docs.google.com/spreadsheets/d/1MeEWN-I1oV_STSDYn1IFDPWt_1FKiwhDph83XaGc0o0/edit?usp=sharing"",""งบพรบ!FC36"")"),158400)</f>
        <v>158400</v>
      </c>
      <c r="N353" s="899">
        <f ca="1">IFERROR(__xludf.DUMMYFUNCTION("IMPORTRANGE(""https://docs.google.com/spreadsheets/d/1MeEWN-I1oV_STSDYn1IFDPWt_1FKiwhDph83XaGc0o0/edit?usp=sharing"",""งบพรบ!FE36"")"),158400)</f>
        <v>158400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IFERROR(__xludf.DUMMYFUNCTION("IMPORTRANGE(""https://docs.google.com/spreadsheets/d/1QqKyyYR6Q21VydFLVH3TRQUabQu_ym0Zz7PgGX0-kHA/edit?usp=sharing"",""แผน!EP36"")"),2000)</f>
        <v>2000</v>
      </c>
      <c r="J355" s="1218">
        <f ca="1">J362</f>
        <v>194</v>
      </c>
      <c r="K355" s="1219">
        <f ca="1">IF(I355&gt;0,J355*100/I355,0)</f>
        <v>9.6999999999999993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IFERROR(__xludf.DUMMYFUNCTION("IMPORTRANGE(""https://docs.google.com/spreadsheets/d/1XWAQStnk-4SwqDmLtmXYiTMKHgktTP8We1SCoS47DrQ/edit?usp=sharing"",""จัดที่ดิน!W36"")"),531)</f>
        <v>531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IFERROR(__xludf.DUMMYFUNCTION("IMPORTRANGE(""https://docs.google.com/spreadsheets/d/1QqKyyYR6Q21VydFLVH3TRQUabQu_ym0Zz7PgGX0-kHA/edit?usp=sharing"",""แผน!EO36"")"),20000)</f>
        <v>20000</v>
      </c>
      <c r="J359" s="892">
        <f ca="1">IFERROR(__xludf.DUMMYFUNCTION("IMPORTRANGE(""https://docs.google.com/spreadsheets/d/1XWAQStnk-4SwqDmLtmXYiTMKHgktTP8We1SCoS47DrQ/edit?usp=sharing"",""จัดที่ดิน!X36"")"),5548.19)</f>
        <v>5548.19</v>
      </c>
      <c r="K359" s="893">
        <f t="shared" ca="1" si="161"/>
        <v>27.740950000000002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IFERROR(__xludf.DUMMYFUNCTION("IMPORTRANGE(""https://docs.google.com/spreadsheets/d/1QqKyyYR6Q21VydFLVH3TRQUabQu_ym0Zz7PgGX0-kHA/edit?usp=sharing"",""แผน!EP36"")"),2000)</f>
        <v>2000</v>
      </c>
      <c r="J360" s="892">
        <f ca="1">IFERROR(__xludf.DUMMYFUNCTION("IMPORTRANGE(""https://docs.google.com/spreadsheets/d/1XWAQStnk-4SwqDmLtmXYiTMKHgktTP8We1SCoS47DrQ/edit?usp=sharing"",""จัดที่ดิน!Y36"")"),489)</f>
        <v>489</v>
      </c>
      <c r="K360" s="893">
        <f t="shared" ca="1" si="161"/>
        <v>24.45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IFERROR(__xludf.DUMMYFUNCTION("IMPORTRANGE(""https://docs.google.com/spreadsheets/d/1XWAQStnk-4SwqDmLtmXYiTMKHgktTP8We1SCoS47DrQ/edit?usp=sharing"",""จัดที่ดิน!Z36"")"),5284.32)</f>
        <v>5284.32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IFERROR(__xludf.DUMMYFUNCTION("IMPORTRANGE(""https://docs.google.com/spreadsheets/d/1QqKyyYR6Q21VydFLVH3TRQUabQu_ym0Zz7PgGX0-kHA/edit?usp=sharing"",""แผน!EP36"")"),2000)</f>
        <v>2000</v>
      </c>
      <c r="J362" s="892">
        <f ca="1">IFERROR(__xludf.DUMMYFUNCTION("IMPORTRANGE(""https://docs.google.com/spreadsheets/d/1XWAQStnk-4SwqDmLtmXYiTMKHgktTP8We1SCoS47DrQ/edit?usp=sharing"",""จัดที่ดิน!AA36"")"),194)</f>
        <v>194</v>
      </c>
      <c r="K362" s="893">
        <f t="shared" ca="1" si="161"/>
        <v>9.6999999999999993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IFERROR(__xludf.DUMMYFUNCTION("IMPORTRANGE(""https://docs.google.com/spreadsheets/d/1XWAQStnk-4SwqDmLtmXYiTMKHgktTP8We1SCoS47DrQ/edit?usp=sharing"",""จัดที่ดิน!AB36"")"),2139.34)</f>
        <v>2139.34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3000</v>
      </c>
      <c r="J364" s="1231">
        <f t="shared" ca="1" si="162"/>
        <v>1150</v>
      </c>
      <c r="K364" s="1232">
        <f t="shared" ca="1" si="161"/>
        <v>38.333333333333336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IFERROR(__xludf.DUMMYFUNCTION("IMPORTRANGE(""https://docs.google.com/spreadsheets/d/1QqKyyYR6Q21VydFLVH3TRQUabQu_ym0Zz7PgGX0-kHA/edit?usp=sharing"",""แผน!EJ36"")"),1500)</f>
        <v>1500</v>
      </c>
      <c r="J365" s="1239">
        <f ca="1">J372</f>
        <v>163</v>
      </c>
      <c r="K365" s="1240">
        <f t="shared" ca="1" si="161"/>
        <v>10.866666666666667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IFERROR(__xludf.DUMMYFUNCTION("IMPORTRANGE(""https://docs.google.com/spreadsheets/d/1XWAQStnk-4SwqDmLtmXYiTMKHgktTP8We1SCoS47DrQ/edit?usp=sharing"",""จัดที่ดิน!E36"")"),257)</f>
        <v>257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IFERROR(__xludf.DUMMYFUNCTION("IMPORTRANGE(""https://docs.google.com/spreadsheets/d/1QqKyyYR6Q21VydFLVH3TRQUabQu_ym0Zz7PgGX0-kHA/edit?usp=sharing"",""แผน!EI36"")"),15000)</f>
        <v>15000</v>
      </c>
      <c r="J369" s="892">
        <f ca="1">IFERROR(__xludf.DUMMYFUNCTION("IMPORTRANGE(""https://docs.google.com/spreadsheets/d/1XWAQStnk-4SwqDmLtmXYiTMKHgktTP8We1SCoS47DrQ/edit?usp=sharing"",""จัดที่ดิน!F36"")"),2983.88)</f>
        <v>2983.88</v>
      </c>
      <c r="K369" s="893">
        <f t="shared" ca="1" si="163"/>
        <v>19.892533333333333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IFERROR(__xludf.DUMMYFUNCTION("IMPORTRANGE(""https://docs.google.com/spreadsheets/d/1QqKyyYR6Q21VydFLVH3TRQUabQu_ym0Zz7PgGX0-kHA/edit?usp=sharing"",""แผน!EJ36"")"),1500)</f>
        <v>1500</v>
      </c>
      <c r="J370" s="892">
        <f ca="1">IFERROR(__xludf.DUMMYFUNCTION("IMPORTRANGE(""https://docs.google.com/spreadsheets/d/1XWAQStnk-4SwqDmLtmXYiTMKHgktTP8We1SCoS47DrQ/edit?usp=sharing"",""จัดที่ดิน!G36"")"),215)</f>
        <v>215</v>
      </c>
      <c r="K370" s="893">
        <f t="shared" ca="1" si="163"/>
        <v>14.333333333333334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IFERROR(__xludf.DUMMYFUNCTION("IMPORTRANGE(""https://docs.google.com/spreadsheets/d/1XWAQStnk-4SwqDmLtmXYiTMKHgktTP8We1SCoS47DrQ/edit?usp=sharing"",""จัดที่ดิน!H36"")"),2720.01)</f>
        <v>2720.01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IFERROR(__xludf.DUMMYFUNCTION("IMPORTRANGE(""https://docs.google.com/spreadsheets/d/1QqKyyYR6Q21VydFLVH3TRQUabQu_ym0Zz7PgGX0-kHA/edit?usp=sharing"",""แผน!EJ36"")"),1500)</f>
        <v>1500</v>
      </c>
      <c r="J372" s="892">
        <f ca="1">IFERROR(__xludf.DUMMYFUNCTION("IMPORTRANGE(""https://docs.google.com/spreadsheets/d/1XWAQStnk-4SwqDmLtmXYiTMKHgktTP8We1SCoS47DrQ/edit?usp=sharing"",""จัดที่ดิน!I36"")"),163)</f>
        <v>163</v>
      </c>
      <c r="K372" s="893">
        <f t="shared" ca="1" si="163"/>
        <v>10.866666666666667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IFERROR(__xludf.DUMMYFUNCTION("IMPORTRANGE(""https://docs.google.com/spreadsheets/d/1XWAQStnk-4SwqDmLtmXYiTMKHgktTP8We1SCoS47DrQ/edit?usp=sharing"",""จัดที่ดิน!J36"")"),1821.71)</f>
        <v>1821.71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IFERROR(__xludf.DUMMYFUNCTION("IMPORTRANGE(""https://docs.google.com/spreadsheets/d/1QqKyyYR6Q21VydFLVH3TRQUabQu_ym0Zz7PgGX0-kHA/edit?usp=sharing"",""แผน!EU36"")"),1500)</f>
        <v>1500</v>
      </c>
      <c r="J374" s="1239">
        <f ca="1">J381</f>
        <v>987</v>
      </c>
      <c r="K374" s="1240">
        <f t="shared" ca="1" si="163"/>
        <v>65.8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IFERROR(__xludf.DUMMYFUNCTION("IMPORTRANGE(""https://docs.google.com/spreadsheets/d/1XWAQStnk-4SwqDmLtmXYiTMKHgktTP8We1SCoS47DrQ/edit?usp=sharing"",""จัดที่ดิน!AH36"")"),274)</f>
        <v>274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IFERROR(__xludf.DUMMYFUNCTION("IMPORTRANGE(""https://docs.google.com/spreadsheets/d/1QqKyyYR6Q21VydFLVH3TRQUabQu_ym0Zz7PgGX0-kHA/edit?usp=sharing"",""แผน!ET36"")"),5000)</f>
        <v>5000</v>
      </c>
      <c r="J378" s="892">
        <f ca="1">IFERROR(__xludf.DUMMYFUNCTION("IMPORTRANGE(""https://docs.google.com/spreadsheets/d/1XWAQStnk-4SwqDmLtmXYiTMKHgktTP8We1SCoS47DrQ/edit?usp=sharing"",""จัดที่ดิน!AI36"")"),2564.31)</f>
        <v>2564.31</v>
      </c>
      <c r="K378" s="893">
        <f t="shared" ca="1" si="164"/>
        <v>51.286200000000001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IFERROR(__xludf.DUMMYFUNCTION("IMPORTRANGE(""https://docs.google.com/spreadsheets/d/1QqKyyYR6Q21VydFLVH3TRQUabQu_ym0Zz7PgGX0-kHA/edit?usp=sharing"",""แผน!EU36"")"),1500)</f>
        <v>1500</v>
      </c>
      <c r="J379" s="892">
        <f ca="1">IFERROR(__xludf.DUMMYFUNCTION("IMPORTRANGE(""https://docs.google.com/spreadsheets/d/1XWAQStnk-4SwqDmLtmXYiTMKHgktTP8We1SCoS47DrQ/edit?usp=sharing"",""จัดที่ดิน!AJ36"")"),1231)</f>
        <v>1231</v>
      </c>
      <c r="K379" s="893">
        <f t="shared" ca="1" si="164"/>
        <v>82.066666666666663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IFERROR(__xludf.DUMMYFUNCTION("IMPORTRANGE(""https://docs.google.com/spreadsheets/d/1XWAQStnk-4SwqDmLtmXYiTMKHgktTP8We1SCoS47DrQ/edit?usp=sharing"",""จัดที่ดิน!AK36"")"),16887.71)</f>
        <v>16887.71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IFERROR(__xludf.DUMMYFUNCTION("IMPORTRANGE(""https://docs.google.com/spreadsheets/d/1QqKyyYR6Q21VydFLVH3TRQUabQu_ym0Zz7PgGX0-kHA/edit?usp=sharing"",""แผน!EU36"")"),1500)</f>
        <v>1500</v>
      </c>
      <c r="J381" s="892">
        <f ca="1">IFERROR(__xludf.DUMMYFUNCTION("IMPORTRANGE(""https://docs.google.com/spreadsheets/d/1XWAQStnk-4SwqDmLtmXYiTMKHgktTP8We1SCoS47DrQ/edit?usp=sharing"",""จัดที่ดิน!AL36"")"),987)</f>
        <v>987</v>
      </c>
      <c r="K381" s="893">
        <f t="shared" ca="1" si="164"/>
        <v>65.8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IFERROR(__xludf.DUMMYFUNCTION("IMPORTRANGE(""https://docs.google.com/spreadsheets/d/1XWAQStnk-4SwqDmLtmXYiTMKHgktTP8We1SCoS47DrQ/edit?usp=sharing"",""จัดที่ดิน!AM36"")"),14635.31)</f>
        <v>14635.31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IFERROR(__xludf.DUMMYFUNCTION("IMPORTRANGE(""https://docs.google.com/spreadsheets/d/1QqKyyYR6Q21VydFLVH3TRQUabQu_ym0Zz7PgGX0-kHA/edit?usp=sharing"",""แผน!EW36"")"),50)</f>
        <v>50</v>
      </c>
      <c r="J385" s="1149">
        <f ca="1">IFERROR(__xludf.DUMMYFUNCTION("IMPORTRANGE(""https://docs.google.com/spreadsheets/d/1XWAQStnk-4SwqDmLtmXYiTMKHgktTP8We1SCoS47DrQ/edit?usp=sharing"",""จัดที่ดิน!AP36"")"),0)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IFERROR(__xludf.DUMMYFUNCTION("IMPORTRANGE(""https://docs.google.com/spreadsheets/d/1MeEWN-I1oV_STSDYn1IFDPWt_1FKiwhDph83XaGc0o0/edit?usp=sharing"",""งบพรบ!FG36"")"),0)</f>
        <v>0</v>
      </c>
      <c r="M394" s="899">
        <f ca="1">IFERROR(__xludf.DUMMYFUNCTION("IMPORTRANGE(""https://docs.google.com/spreadsheets/d/1MeEWN-I1oV_STSDYn1IFDPWt_1FKiwhDph83XaGc0o0/edit?usp=sharing"",""งบพรบ!FL36"")"),0)</f>
        <v>0</v>
      </c>
      <c r="N394" s="899">
        <f ca="1">IFERROR(__xludf.DUMMYFUNCTION("IMPORTRANGE(""https://docs.google.com/spreadsheets/d/1MeEWN-I1oV_STSDYn1IFDPWt_1FKiwhDph83XaGc0o0/edit?usp=sharing"",""งบพรบ!FN36"")"),0)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IFERROR(__xludf.DUMMYFUNCTION("IMPORTRANGE(""https://docs.google.com/spreadsheets/d/1MeEWN-I1oV_STSDYn1IFDPWt_1FKiwhDph83XaGc0o0/edit?usp=sharing"",""งบพรบ!FJ36"")"),0)</f>
        <v>0</v>
      </c>
      <c r="M397" s="899">
        <f ca="1">IFERROR(__xludf.DUMMYFUNCTION("IMPORTRANGE(""https://docs.google.com/spreadsheets/d/1MeEWN-I1oV_STSDYn1IFDPWt_1FKiwhDph83XaGc0o0/edit?usp=sharing"",""งบพรบ!FM36"")"),0)</f>
        <v>0</v>
      </c>
      <c r="N397" s="899">
        <f ca="1">IFERROR(__xludf.DUMMYFUNCTION("IMPORTRANGE(""https://docs.google.com/spreadsheets/d/1MeEWN-I1oV_STSDYn1IFDPWt_1FKiwhDph83XaGc0o0/edit?usp=sharing"",""งบพรบ!FO36"")"),0)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IFERROR(__xludf.DUMMYFUNCTION("IMPORTRANGE(""https://docs.google.com/spreadsheets/d/1MeEWN-I1oV_STSDYn1IFDPWt_1FKiwhDph83XaGc0o0/edit?usp=sharing"",""งบพรบ!FQ36"")"),0)</f>
        <v>0</v>
      </c>
      <c r="M407" s="899">
        <f ca="1">IFERROR(__xludf.DUMMYFUNCTION("IMPORTRANGE(""https://docs.google.com/spreadsheets/d/1MeEWN-I1oV_STSDYn1IFDPWt_1FKiwhDph83XaGc0o0/edit?usp=sharing"",""งบพรบ!FV36"")"),0)</f>
        <v>0</v>
      </c>
      <c r="N407" s="899">
        <f ca="1">IFERROR(__xludf.DUMMYFUNCTION("IMPORTRANGE(""https://docs.google.com/spreadsheets/d/1MeEWN-I1oV_STSDYn1IFDPWt_1FKiwhDph83XaGc0o0/edit?usp=sharing"",""งบพรบ!FX36"")"),0)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IFERROR(__xludf.DUMMYFUNCTION("IMPORTRANGE(""https://docs.google.com/spreadsheets/d/1MeEWN-I1oV_STSDYn1IFDPWt_1FKiwhDph83XaGc0o0/edit?usp=sharing"",""งบพรบ!FT36"")"),0)</f>
        <v>0</v>
      </c>
      <c r="M410" s="899">
        <f ca="1">IFERROR(__xludf.DUMMYFUNCTION("IMPORTRANGE(""https://docs.google.com/spreadsheets/d/1MeEWN-I1oV_STSDYn1IFDPWt_1FKiwhDph83XaGc0o0/edit?usp=sharing"",""งบพรบ!FW36"")"),0)</f>
        <v>0</v>
      </c>
      <c r="N410" s="899">
        <f ca="1">IFERROR(__xludf.DUMMYFUNCTION("IMPORTRANGE(""https://docs.google.com/spreadsheets/d/1MeEWN-I1oV_STSDYn1IFDPWt_1FKiwhDph83XaGc0o0/edit?usp=sharing"",""งบพรบ!FY36"")"),0)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5479290</v>
      </c>
      <c r="M414" s="1293">
        <f t="shared" ca="1" si="181"/>
        <v>5475290</v>
      </c>
      <c r="N414" s="1293">
        <f t="shared" si="181"/>
        <v>3065226.59</v>
      </c>
      <c r="O414" s="1293">
        <f ca="1">IF(L414&gt;0,N414*100/L414,0)</f>
        <v>55.942039753325702</v>
      </c>
      <c r="P414" s="1293">
        <f ca="1">IF(M414&gt;0,N414*100/M414,0)</f>
        <v>55.982908485212654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70</v>
      </c>
      <c r="J417" s="1306">
        <f t="shared" ca="1" si="182"/>
        <v>70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2</v>
      </c>
      <c r="J418" s="1306">
        <f t="shared" si="182"/>
        <v>2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238260</v>
      </c>
      <c r="M419" s="1004">
        <f t="shared" ca="1" si="184"/>
        <v>234260</v>
      </c>
      <c r="N419" s="1004">
        <f t="shared" si="184"/>
        <v>55090</v>
      </c>
      <c r="O419" s="1004">
        <f t="shared" ref="O419:O424" ca="1" si="185">IF(L419&gt;0,N419*100/L419,0)</f>
        <v>23.121799714597497</v>
      </c>
      <c r="P419" s="1004">
        <f t="shared" ref="P419:P424" ca="1" si="186">IF(M419&gt;0,N419*100/M419,0)</f>
        <v>23.516605481089389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238260</v>
      </c>
      <c r="M421" s="899">
        <f t="shared" ca="1" si="187"/>
        <v>234260</v>
      </c>
      <c r="N421" s="899">
        <f t="shared" si="187"/>
        <v>55090</v>
      </c>
      <c r="O421" s="899">
        <f t="shared" ca="1" si="185"/>
        <v>23.121799714597497</v>
      </c>
      <c r="P421" s="899">
        <f t="shared" ca="1" si="186"/>
        <v>23.516605481089389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238260</v>
      </c>
      <c r="M422" s="893">
        <f t="shared" ca="1" si="188"/>
        <v>234260</v>
      </c>
      <c r="N422" s="893">
        <f t="shared" si="188"/>
        <v>55090</v>
      </c>
      <c r="O422" s="893">
        <f t="shared" ca="1" si="185"/>
        <v>23.121799714597497</v>
      </c>
      <c r="P422" s="893">
        <f t="shared" ca="1" si="186"/>
        <v>23.516605481089389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IFERROR(__xludf.DUMMYFUNCTION("IMPORTRANGE(""https://docs.google.com/spreadsheets/d/1QqKyyYR6Q21VydFLVH3TRQUabQu_ym0Zz7PgGX0-kHA/edit?usp=sharing"",""แผน!EY36"")"),238260)</f>
        <v>238260</v>
      </c>
      <c r="M424" s="899">
        <f ca="1">L424-4000</f>
        <v>234260</v>
      </c>
      <c r="N424" s="899">
        <f>N425+N426+N427+N428</f>
        <v>55090</v>
      </c>
      <c r="O424" s="899">
        <f t="shared" ca="1" si="185"/>
        <v>23.121799714597497</v>
      </c>
      <c r="P424" s="899">
        <f t="shared" ca="1" si="186"/>
        <v>23.516605481089389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33240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21850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IFERROR(__xludf.DUMMYFUNCTION("IMPORTRANGE(""https://docs.google.com/spreadsheets/d/1QqKyyYR6Q21VydFLVH3TRQUabQu_ym0Zz7PgGX0-kHA/edit?usp=sharing"",""แผน!FB36"")"),0)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70</v>
      </c>
      <c r="J433" s="1031">
        <f ca="1">IF(AND(J435=I435,J437=I437,J439=I439),I437+I439,IF(AND(J435=I437,J437=I437),I437,IF(AND(J435=I439,J439=I439),I439,0)))</f>
        <v>70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2</v>
      </c>
      <c r="J434" s="1031">
        <f t="shared" si="193"/>
        <v>2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893">
        <f t="shared" ref="K437:K443" ca="1" si="194">IF(I437&gt;0,J437*100/I437,0)</f>
        <v>100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IFERROR(__xludf.DUMMYFUNCTION("IMPORTRANGE(""https://docs.google.com/spreadsheets/d/1QqKyyYR6Q21VydFLVH3TRQUabQu_ym0Zz7PgGX0-kHA/edit?usp=sharing"",""แผน!FE36"")"),1)</f>
        <v>1</v>
      </c>
      <c r="J438" s="1024">
        <v>1</v>
      </c>
      <c r="K438" s="893">
        <f t="shared" ca="1" si="194"/>
        <v>100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IFERROR(__xludf.DUMMYFUNCTION("IMPORTRANGE(""https://docs.google.com/spreadsheets/d/1QqKyyYR6Q21VydFLVH3TRQUabQu_ym0Zz7PgGX0-kHA/edit?usp=sharing"",""แผน!FG36"")"),1)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IFERROR(__xludf.DUMMYFUNCTION("IMPORTRANGE(""https://docs.google.com/spreadsheets/d/1QqKyyYR6Q21VydFLVH3TRQUabQu_ym0Zz7PgGX0-kHA/edit?usp=sharing"",""แผน!FH36"")"),0)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70</v>
      </c>
      <c r="J442" s="1322">
        <f t="shared" si="195"/>
        <v>70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140</v>
      </c>
      <c r="J443" s="1306">
        <f t="shared" si="196"/>
        <v>140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444200</v>
      </c>
      <c r="M444" s="1032">
        <f t="shared" ca="1" si="197"/>
        <v>444200</v>
      </c>
      <c r="N444" s="1032">
        <f t="shared" si="197"/>
        <v>360545.01</v>
      </c>
      <c r="O444" s="1032">
        <f t="shared" ref="O444:O449" ca="1" si="198">IF(L444&gt;0,N444*100/L444,0)</f>
        <v>81.167269248086441</v>
      </c>
      <c r="P444" s="1032">
        <f t="shared" ref="P444:P449" ca="1" si="199">IF(M444&gt;0,N444*100/M444,0)</f>
        <v>81.167269248086441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444200</v>
      </c>
      <c r="M446" s="899">
        <f t="shared" ca="1" si="200"/>
        <v>444200</v>
      </c>
      <c r="N446" s="899">
        <f t="shared" si="200"/>
        <v>360545.01</v>
      </c>
      <c r="O446" s="899">
        <f t="shared" ca="1" si="198"/>
        <v>81.167269248086441</v>
      </c>
      <c r="P446" s="899">
        <f t="shared" ca="1" si="199"/>
        <v>81.167269248086441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444200</v>
      </c>
      <c r="M447" s="893">
        <f t="shared" ca="1" si="201"/>
        <v>444200</v>
      </c>
      <c r="N447" s="893">
        <f t="shared" si="201"/>
        <v>360545.01</v>
      </c>
      <c r="O447" s="893">
        <f t="shared" ca="1" si="198"/>
        <v>81.167269248086441</v>
      </c>
      <c r="P447" s="893">
        <f t="shared" ca="1" si="199"/>
        <v>81.167269248086441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IFERROR(__xludf.DUMMYFUNCTION("IMPORTRANGE(""https://docs.google.com/spreadsheets/d/1QqKyyYR6Q21VydFLVH3TRQUabQu_ym0Zz7PgGX0-kHA/edit?usp=sharing"",""แผน!FJ36"")"),444200)</f>
        <v>444200</v>
      </c>
      <c r="M449" s="899">
        <f ca="1">L449</f>
        <v>444200</v>
      </c>
      <c r="N449" s="899">
        <f>N450+N451+N452+N453</f>
        <v>360545.01</v>
      </c>
      <c r="O449" s="899">
        <f t="shared" ca="1" si="198"/>
        <v>81.167269248086441</v>
      </c>
      <c r="P449" s="899">
        <f t="shared" ca="1" si="199"/>
        <v>81.167269248086441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129625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159000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63700.01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8220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IFERROR(__xludf.DUMMYFUNCTION("IMPORTRANGE(""https://docs.google.com/spreadsheets/d/1QqKyyYR6Q21VydFLVH3TRQUabQu_ym0Zz7PgGX0-kHA/edit?usp=sharing"",""แผน!FM36"")"),0)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IFERROR(__xludf.DUMMYFUNCTION("IMPORTRANGE(""https://docs.google.com/spreadsheets/d/1QqKyyYR6Q21VydFLVH3TRQUabQu_ym0Zz7PgGX0-kHA/edit?usp=sharing"",""แผน!FN36"")"),70)</f>
        <v>70</v>
      </c>
      <c r="J460" s="1024">
        <v>70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IFERROR(__xludf.DUMMYFUNCTION("IMPORTRANGE(""https://docs.google.com/spreadsheets/d/1QqKyyYR6Q21VydFLVH3TRQUabQu_ym0Zz7PgGX0-kHA/edit?usp=sharing"",""แผน!FO36"")"),140)</f>
        <v>140</v>
      </c>
      <c r="J462" s="1024">
        <v>140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IFERROR(__xludf.DUMMYFUNCTION("IMPORTRANGE(""https://docs.google.com/spreadsheets/d/1QqKyyYR6Q21VydFLVH3TRQUabQu_ym0Zz7PgGX0-kHA/edit?usp=sharing"",""แผน!FO36"")"),140)</f>
        <v>140</v>
      </c>
      <c r="J463" s="1024">
        <v>140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IFERROR(__xludf.DUMMYFUNCTION("IMPORTRANGE(""https://docs.google.com/spreadsheets/d/1QqKyyYR6Q21VydFLVH3TRQUabQu_ym0Zz7PgGX0-kHA/edit?usp=sharing"",""แผน!FN36"")"),70)</f>
        <v>70</v>
      </c>
      <c r="J464" s="1024">
        <v>70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IFERROR(__xludf.DUMMYFUNCTION("IMPORTRANGE(""https://docs.google.com/spreadsheets/d/1QqKyyYR6Q21VydFLVH3TRQUabQu_ym0Zz7PgGX0-kHA/edit?usp=sharing"",""แผน!FX36"")"),131)</f>
        <v>131</v>
      </c>
      <c r="J465" s="1322">
        <f>J485+J489+J492</f>
        <v>134</v>
      </c>
      <c r="K465" s="1323">
        <f t="shared" ca="1" si="205"/>
        <v>102.29007633587786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IFERROR(__xludf.DUMMYFUNCTION("IMPORTRANGE(""https://docs.google.com/spreadsheets/d/1QqKyyYR6Q21VydFLVH3TRQUabQu_ym0Zz7PgGX0-kHA/edit?usp=sharing"",""แผน!FW36"")"),1300)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1167258</v>
      </c>
      <c r="M467" s="1032">
        <f t="shared" ca="1" si="206"/>
        <v>1167258</v>
      </c>
      <c r="N467" s="1032">
        <f t="shared" si="206"/>
        <v>260923.35</v>
      </c>
      <c r="O467" s="1032">
        <f t="shared" ref="O467:O472" ca="1" si="207">IF(L467&gt;0,N467*100/L467,0)</f>
        <v>22.353528525827194</v>
      </c>
      <c r="P467" s="1032">
        <f t="shared" ref="P467:P472" ca="1" si="208">IF(M467&gt;0,N467*100/M467,0)</f>
        <v>22.353528525827194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1167258</v>
      </c>
      <c r="M469" s="899">
        <f t="shared" ca="1" si="209"/>
        <v>1167258</v>
      </c>
      <c r="N469" s="899">
        <f t="shared" si="209"/>
        <v>260923.35</v>
      </c>
      <c r="O469" s="899">
        <f t="shared" ca="1" si="207"/>
        <v>22.353528525827194</v>
      </c>
      <c r="P469" s="899">
        <f t="shared" ca="1" si="208"/>
        <v>22.353528525827194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1167258</v>
      </c>
      <c r="M470" s="893">
        <f t="shared" ca="1" si="210"/>
        <v>1167258</v>
      </c>
      <c r="N470" s="893">
        <f t="shared" si="210"/>
        <v>260923.35</v>
      </c>
      <c r="O470" s="893">
        <f t="shared" ca="1" si="207"/>
        <v>22.353528525827194</v>
      </c>
      <c r="P470" s="893">
        <f t="shared" ca="1" si="208"/>
        <v>22.353528525827194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IFERROR(__xludf.DUMMYFUNCTION("IMPORTRANGE(""https://docs.google.com/spreadsheets/d/1QqKyyYR6Q21VydFLVH3TRQUabQu_ym0Zz7PgGX0-kHA/edit?usp=sharing"",""แผน!FS36"")"),1167258)</f>
        <v>1167258</v>
      </c>
      <c r="M472" s="899">
        <f ca="1">L472</f>
        <v>1167258</v>
      </c>
      <c r="N472" s="899">
        <f>N473+N474+N475+N476</f>
        <v>260923.35</v>
      </c>
      <c r="O472" s="899">
        <f t="shared" ca="1" si="207"/>
        <v>22.353528525827194</v>
      </c>
      <c r="P472" s="899">
        <f t="shared" ca="1" si="208"/>
        <v>22.353528525827194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180050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62833.35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18040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IFERROR(__xludf.DUMMYFUNCTION("IMPORTRANGE(""https://docs.google.com/spreadsheets/d/1QqKyyYR6Q21VydFLVH3TRQUabQu_ym0Zz7PgGX0-kHA/edit?usp=sharing"",""แผน!FV36"")"),0)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IFERROR(__xludf.DUMMYFUNCTION("IMPORTRANGE(""https://docs.google.com/spreadsheets/d/1QqKyyYR6Q21VydFLVH3TRQUabQu_ym0Zz7PgGX0-kHA/edit?usp=sharing"",""แผน!FY36"")"),1170)</f>
        <v>1170</v>
      </c>
      <c r="J483" s="1024">
        <v>1247</v>
      </c>
      <c r="K483" s="893">
        <f ca="1">IF(I483&gt;0,J483*100/I483,0)</f>
        <v>106.58119658119658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IFERROR(__xludf.DUMMYFUNCTION("IMPORTRANGE(""https://docs.google.com/spreadsheets/d/1QqKyyYR6Q21VydFLVH3TRQUabQu_ym0Zz7PgGX0-kHA/edit?usp=sharing"",""แผน!FZ36"")"),117)</f>
        <v>117</v>
      </c>
      <c r="J485" s="1024">
        <v>110</v>
      </c>
      <c r="K485" s="893">
        <f ca="1">IF(I485&gt;0,J485*100/I485,0)</f>
        <v>94.017094017094024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IFERROR(__xludf.DUMMYFUNCTION("IMPORTRANGE(""https://docs.google.com/spreadsheets/d/1QqKyyYR6Q21VydFLVH3TRQUabQu_ym0Zz7PgGX0-kHA/edit?usp=sharing"",""แผน!GA36"")"),130)</f>
        <v>130</v>
      </c>
      <c r="J487" s="1024">
        <v>57</v>
      </c>
      <c r="K487" s="893">
        <f ca="1">IF(I487&gt;0,J487*100/I487,0)</f>
        <v>43.846153846153847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IFERROR(__xludf.DUMMYFUNCTION("IMPORTRANGE(""https://docs.google.com/spreadsheets/d/1QqKyyYR6Q21VydFLVH3TRQUabQu_ym0Zz7PgGX0-kHA/edit?usp=sharing"",""แผน!GB36"")"),13)</f>
        <v>13</v>
      </c>
      <c r="J489" s="1024">
        <v>23</v>
      </c>
      <c r="K489" s="893">
        <f ca="1">IF(I489&gt;0,J489*100/I489,0)</f>
        <v>176.92307692307693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IFERROR(__xludf.DUMMYFUNCTION("IMPORTRANGE(""https://docs.google.com/spreadsheets/d/1QqKyyYR6Q21VydFLVH3TRQUabQu_ym0Zz7PgGX0-kHA/edit?usp=sharing"",""แผน!GC36"")"),1)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IFERROR(__xludf.DUMMYFUNCTION("IMPORTRANGE(""https://docs.google.com/spreadsheets/d/1QqKyyYR6Q21VydFLVH3TRQUabQu_ym0Zz7PgGX0-kHA/edit?usp=sharing"",""แผน!FY36"")"),1170)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IFERROR(__xludf.DUMMYFUNCTION("IMPORTRANGE(""https://docs.google.com/spreadsheets/d/1QqKyyYR6Q21VydFLVH3TRQUabQu_ym0Zz7PgGX0-kHA/edit?usp=sharing"",""แผน!GA36"")"),130)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50</v>
      </c>
      <c r="J522" s="1389">
        <f t="shared" ca="1" si="225"/>
        <v>50</v>
      </c>
      <c r="K522" s="1390">
        <f ca="1">IF(I522&gt;0,J522*100/I522,0)</f>
        <v>100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427460</v>
      </c>
      <c r="M523" s="1032">
        <f t="shared" ca="1" si="226"/>
        <v>427460</v>
      </c>
      <c r="N523" s="1032">
        <f t="shared" si="226"/>
        <v>410886.82</v>
      </c>
      <c r="O523" s="1032">
        <f t="shared" ref="O523:O528" ca="1" si="227">IF(L523&gt;0,N523*100/L523,0)</f>
        <v>96.122869976138119</v>
      </c>
      <c r="P523" s="1032">
        <f t="shared" ref="P523:P528" ca="1" si="228">IF(M523&gt;0,N523*100/M523,0)</f>
        <v>96.122869976138119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427460</v>
      </c>
      <c r="M525" s="899">
        <f t="shared" ca="1" si="229"/>
        <v>427460</v>
      </c>
      <c r="N525" s="899">
        <f t="shared" si="229"/>
        <v>410886.82</v>
      </c>
      <c r="O525" s="899">
        <f t="shared" ca="1" si="227"/>
        <v>96.122869976138119</v>
      </c>
      <c r="P525" s="899">
        <f t="shared" ca="1" si="228"/>
        <v>96.122869976138119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427460</v>
      </c>
      <c r="M526" s="893">
        <f t="shared" ca="1" si="230"/>
        <v>427460</v>
      </c>
      <c r="N526" s="893">
        <f t="shared" si="230"/>
        <v>410886.82</v>
      </c>
      <c r="O526" s="893">
        <f t="shared" ca="1" si="227"/>
        <v>96.122869976138119</v>
      </c>
      <c r="P526" s="893">
        <f t="shared" ca="1" si="228"/>
        <v>96.122869976138119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IFERROR(__xludf.DUMMYFUNCTION("IMPORTRANGE(""https://docs.google.com/spreadsheets/d/1QqKyyYR6Q21VydFLVH3TRQUabQu_ym0Zz7PgGX0-kHA/edit?usp=sharing"",""แผน!GQ36"")"),427460)</f>
        <v>427460</v>
      </c>
      <c r="M528" s="899">
        <f ca="1">L528</f>
        <v>427460</v>
      </c>
      <c r="N528" s="899">
        <f>N529+N530+N531+N532</f>
        <v>410886.82</v>
      </c>
      <c r="O528" s="899">
        <f t="shared" ca="1" si="227"/>
        <v>96.122869976138119</v>
      </c>
      <c r="P528" s="899">
        <f t="shared" ca="1" si="228"/>
        <v>96.122869976138119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151920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249786.82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9180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IFERROR(__xludf.DUMMYFUNCTION("IMPORTRANGE(""https://docs.google.com/spreadsheets/d/1QqKyyYR6Q21VydFLVH3TRQUabQu_ym0Zz7PgGX0-kHA/edit?usp=sharing"",""แผน!GT36"")"),0)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IFERROR(__xludf.DUMMYFUNCTION("IMPORTRANGE(""https://docs.google.com/spreadsheets/d/1QqKyyYR6Q21VydFLVH3TRQUabQu_ym0Zz7PgGX0-kHA/edit?usp=sharing"",""แผน!GU36"")"),50)</f>
        <v>50</v>
      </c>
      <c r="J537" s="1031">
        <f ca="1">IF(AND(J538=I538,J539=I539,J540=I540,J541=I541),I537,0)</f>
        <v>50</v>
      </c>
      <c r="K537" s="893">
        <f t="shared" ref="K537:K543" ca="1" si="234">IF(I537&gt;0,J537*100/I537,0)</f>
        <v>100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IFERROR(__xludf.DUMMYFUNCTION("IMPORTRANGE(""https://docs.google.com/spreadsheets/d/1QqKyyYR6Q21VydFLVH3TRQUabQu_ym0Zz7PgGX0-kHA/edit?usp=sharing"",""แผน!GV36"")"),50)</f>
        <v>50</v>
      </c>
      <c r="J538" s="1024">
        <v>50</v>
      </c>
      <c r="K538" s="893">
        <f t="shared" ca="1" si="234"/>
        <v>100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IFERROR(__xludf.DUMMYFUNCTION("IMPORTRANGE(""https://docs.google.com/spreadsheets/d/1QqKyyYR6Q21VydFLVH3TRQUabQu_ym0Zz7PgGX0-kHA/edit?usp=sharing"",""แผน!GW36"")"),0)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IFERROR(__xludf.DUMMYFUNCTION("IMPORTRANGE(""https://docs.google.com/spreadsheets/d/1QqKyyYR6Q21VydFLVH3TRQUabQu_ym0Zz7PgGX0-kHA/edit?usp=sharing"",""แผน!GX36"")"),0)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IFERROR(__xludf.DUMMYFUNCTION("IMPORTRANGE(""https://docs.google.com/spreadsheets/d/1QqKyyYR6Q21VydFLVH3TRQUabQu_ym0Zz7PgGX0-kHA/edit?usp=sharing"",""แผน!GY36"")"),50)</f>
        <v>50</v>
      </c>
      <c r="J541" s="1024">
        <v>50</v>
      </c>
      <c r="K541" s="893">
        <f t="shared" ca="1" si="234"/>
        <v>100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IFERROR(__xludf.DUMMYFUNCTION("IMPORTRANGE(""https://docs.google.com/spreadsheets/d/1QqKyyYR6Q21VydFLVH3TRQUabQu_ym0Zz7PgGX0-kHA/edit?usp=sharing"",""แผน!GZ36"")"),50)</f>
        <v>50</v>
      </c>
      <c r="J542" s="1024">
        <v>50</v>
      </c>
      <c r="K542" s="893">
        <f t="shared" ca="1" si="234"/>
        <v>100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103382</v>
      </c>
      <c r="J543" s="1396">
        <f t="shared" si="235"/>
        <v>103382.13400000001</v>
      </c>
      <c r="K543" s="1397">
        <f t="shared" ca="1" si="234"/>
        <v>100.00012961637422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759787</v>
      </c>
      <c r="M544" s="1004">
        <f t="shared" ca="1" si="236"/>
        <v>759787</v>
      </c>
      <c r="N544" s="1004">
        <f t="shared" si="236"/>
        <v>413002.32</v>
      </c>
      <c r="O544" s="1004">
        <f t="shared" ref="O544:O549" ca="1" si="237">IF(L544&gt;0,N544*100/L544,0)</f>
        <v>54.357644971551238</v>
      </c>
      <c r="P544" s="1004">
        <f t="shared" ref="P544:P549" ca="1" si="238">IF(M544&gt;0,N544*100/M544,0)</f>
        <v>54.357644971551238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759787</v>
      </c>
      <c r="M546" s="899">
        <f t="shared" ca="1" si="240"/>
        <v>759787</v>
      </c>
      <c r="N546" s="899">
        <f t="shared" si="240"/>
        <v>413002.32</v>
      </c>
      <c r="O546" s="899">
        <f t="shared" ca="1" si="237"/>
        <v>54.357644971551238</v>
      </c>
      <c r="P546" s="899">
        <f t="shared" ca="1" si="238"/>
        <v>54.357644971551238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759787</v>
      </c>
      <c r="M547" s="893">
        <f t="shared" ca="1" si="241"/>
        <v>759787</v>
      </c>
      <c r="N547" s="893">
        <f t="shared" si="241"/>
        <v>413002.32</v>
      </c>
      <c r="O547" s="893">
        <f t="shared" ca="1" si="237"/>
        <v>54.357644971551238</v>
      </c>
      <c r="P547" s="893">
        <f t="shared" ca="1" si="238"/>
        <v>54.357644971551238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IFERROR(__xludf.DUMMYFUNCTION("IMPORTRANGE(""https://docs.google.com/spreadsheets/d/1QqKyyYR6Q21VydFLVH3TRQUabQu_ym0Zz7PgGX0-kHA/edit?usp=sharing"",""แผน!HB36"")"),759787)</f>
        <v>759787</v>
      </c>
      <c r="M549" s="899">
        <f ca="1">L549</f>
        <v>759787</v>
      </c>
      <c r="N549" s="899">
        <f>N550+N551+N552+N553+N554</f>
        <v>413002.32</v>
      </c>
      <c r="O549" s="899">
        <f t="shared" ca="1" si="237"/>
        <v>54.357644971551238</v>
      </c>
      <c r="P549" s="899">
        <f t="shared" ca="1" si="238"/>
        <v>54.357644971551238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64566.67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348435.65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IFERROR(__xludf.DUMMYFUNCTION("IMPORTRANGE(""https://docs.google.com/spreadsheets/d/1QqKyyYR6Q21VydFLVH3TRQUabQu_ym0Zz7PgGX0-kHA/edit?usp=sharing"",""แผน!HF36"")"),0)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103382</v>
      </c>
      <c r="J559" s="1389">
        <f t="shared" si="245"/>
        <v>103382.13400000001</v>
      </c>
      <c r="K559" s="1390">
        <f t="shared" ref="K559:K561" ca="1" si="246">IF(I559&gt;0,J559*100/I559,0)</f>
        <v>100.00012961637422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IFERROR(__xludf.DUMMYFUNCTION("IMPORTRANGE(""https://docs.google.com/spreadsheets/d/1QqKyyYR6Q21VydFLVH3TRQUabQu_ym0Zz7PgGX0-kHA/edit?usp=sharing"",""แผน!HH36"")"),103382)</f>
        <v>103382</v>
      </c>
      <c r="J560" s="1030">
        <f t="shared" ref="J560:J561" si="247">J562+J564+J566</f>
        <v>103382.3475</v>
      </c>
      <c r="K560" s="1174">
        <f t="shared" ca="1" si="246"/>
        <v>100.00033613201525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IFERROR(__xludf.DUMMYFUNCTION("IMPORTRANGE(""https://docs.google.com/spreadsheets/d/1QqKyyYR6Q21VydFLVH3TRQUabQu_ym0Zz7PgGX0-kHA/edit?usp=sharing"",""แผน!HG36"")"),10317)</f>
        <v>10317</v>
      </c>
      <c r="J561" s="1030">
        <f t="shared" si="247"/>
        <v>10317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75688.600000000006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8094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25321.647499999999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2006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2372.1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217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IFERROR(__xludf.DUMMYFUNCTION("IMPORTRANGE(""https://docs.google.com/spreadsheets/d/1QqKyyYR6Q21VydFLVH3TRQUabQu_ym0Zz7PgGX0-kHA/edit?usp=sharing"",""แผน!HH36"")"),103382)</f>
        <v>103382</v>
      </c>
      <c r="J568" s="1031">
        <f t="shared" ref="J568:J569" si="248">J570+J572+J574</f>
        <v>103382.13400000001</v>
      </c>
      <c r="K568" s="1174">
        <f t="shared" ref="K568:K569" ca="1" si="249">IF(I568&gt;0,J568*100/I568,0)</f>
        <v>100.00012961637422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IFERROR(__xludf.DUMMYFUNCTION("IMPORTRANGE(""https://docs.google.com/spreadsheets/d/1QqKyyYR6Q21VydFLVH3TRQUabQu_ym0Zz7PgGX0-kHA/edit?usp=sharing"",""แผน!HG36"")"),10317)</f>
        <v>10317</v>
      </c>
      <c r="J569" s="1031">
        <f t="shared" si="248"/>
        <v>10317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79701.981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8455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20680.03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1588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3000.123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274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IFERROR(__xludf.DUMMYFUNCTION("IMPORTRANGE(""https://docs.google.com/spreadsheets/d/1QqKyyYR6Q21VydFLVH3TRQUabQu_ym0Zz7PgGX0-kHA/edit?usp=sharing"",""แผน!HH36"")"),103382)</f>
        <v>103382</v>
      </c>
      <c r="J576" s="1031">
        <f t="shared" ref="J576:J577" si="250">J578+J580+J582+J588+J590</f>
        <v>103382.13400000001</v>
      </c>
      <c r="K576" s="1174">
        <f t="shared" ref="K576:K577" ca="1" si="251">IF(I576&gt;0,J576*100/I576,0)</f>
        <v>100.00012961637422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IFERROR(__xludf.DUMMYFUNCTION("IMPORTRANGE(""https://docs.google.com/spreadsheets/d/1QqKyyYR6Q21VydFLVH3TRQUabQu_ym0Zz7PgGX0-kHA/edit?usp=sharing"",""แผน!HG36"")"),10317)</f>
        <v>10317</v>
      </c>
      <c r="J577" s="1031">
        <f t="shared" si="250"/>
        <v>10317</v>
      </c>
      <c r="K577" s="1174">
        <f t="shared" ca="1" si="251"/>
        <v>100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79701.981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8455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20680.03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1588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3000.123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274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3000.123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274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10751.98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IFERROR(__xludf.DUMMYFUNCTION("IMPORTRANGE(""https://docs.google.com/spreadsheets/d/1QqKyyYR6Q21VydFLVH3TRQUabQu_ym0Zz7PgGX0-kHA/edit?usp=sharing"",""แผน!HJ36"")"),10751.98)</f>
        <v>10751.98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IFERROR(__xludf.DUMMYFUNCTION("IMPORTRANGE(""https://docs.google.com/spreadsheets/d/1QqKyyYR6Q21VydFLVH3TRQUabQu_ym0Zz7PgGX0-kHA/edit?usp=sharing"",""แผน!HI36"")"),823)</f>
        <v>823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IFERROR(__xludf.DUMMYFUNCTION("IMPORTRANGE(""https://docs.google.com/spreadsheets/d/1QqKyyYR6Q21VydFLVH3TRQUabQu_ym0Zz7PgGX0-kHA/edit?usp=sharing"",""แผน!HL36"")"),199)</f>
        <v>199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IFERROR(__xludf.DUMMYFUNCTION("IMPORTRANGE(""https://docs.google.com/spreadsheets/d/1QqKyyYR6Q21VydFLVH3TRQUabQu_ym0Zz7PgGX0-kHA/edit?usp=sharing"",""แผน!HK36"")"),14)</f>
        <v>14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2500</v>
      </c>
      <c r="J628" s="1438">
        <f t="shared" ca="1" si="262"/>
        <v>1051</v>
      </c>
      <c r="K628" s="1439">
        <f ca="1">IF(I628&gt;0,J628*100/I628,0)</f>
        <v>42.04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2073125</v>
      </c>
      <c r="M629" s="1032">
        <f t="shared" ca="1" si="263"/>
        <v>2073125</v>
      </c>
      <c r="N629" s="1032">
        <f t="shared" si="263"/>
        <v>1301912.52</v>
      </c>
      <c r="O629" s="1032">
        <f t="shared" ref="O629:O634" ca="1" si="264">IF(L629&gt;0,N629*100/L629,0)</f>
        <v>62.799518601145614</v>
      </c>
      <c r="P629" s="1032">
        <f t="shared" ref="P629:P634" ca="1" si="265">IF(M629&gt;0,N629*100/M629,0)</f>
        <v>62.799518601145614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2073125</v>
      </c>
      <c r="M631" s="899">
        <f t="shared" ca="1" si="266"/>
        <v>2073125</v>
      </c>
      <c r="N631" s="899">
        <f t="shared" si="266"/>
        <v>1301912.52</v>
      </c>
      <c r="O631" s="899">
        <f t="shared" ca="1" si="264"/>
        <v>62.799518601145614</v>
      </c>
      <c r="P631" s="899">
        <f t="shared" ca="1" si="265"/>
        <v>62.799518601145614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2073125</v>
      </c>
      <c r="M632" s="893">
        <f t="shared" ca="1" si="267"/>
        <v>2073125</v>
      </c>
      <c r="N632" s="893">
        <f t="shared" si="267"/>
        <v>1301912.52</v>
      </c>
      <c r="O632" s="893">
        <f t="shared" ca="1" si="264"/>
        <v>62.799518601145614</v>
      </c>
      <c r="P632" s="893">
        <f t="shared" ca="1" si="265"/>
        <v>62.799518601145614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IFERROR(__xludf.DUMMYFUNCTION("IMPORTRANGE(""https://docs.google.com/spreadsheets/d/1QqKyyYR6Q21VydFLVH3TRQUabQu_ym0Zz7PgGX0-kHA/edit?usp=sharing"",""แผน!HN36"")"),2073125)</f>
        <v>2073125</v>
      </c>
      <c r="M634" s="899">
        <f ca="1">L634</f>
        <v>2073125</v>
      </c>
      <c r="N634" s="899">
        <f>N635+N636+N637+N638</f>
        <v>1301912.52</v>
      </c>
      <c r="O634" s="899">
        <f t="shared" ca="1" si="264"/>
        <v>62.799518601145614</v>
      </c>
      <c r="P634" s="899">
        <f t="shared" ca="1" si="265"/>
        <v>62.799518601145614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194566.67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1107345.8500000001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IFERROR(__xludf.DUMMYFUNCTION("IMPORTRANGE(""https://docs.google.com/spreadsheets/d/1QqKyyYR6Q21VydFLVH3TRQUabQu_ym0Zz7PgGX0-kHA/edit?usp=sharing"",""แผน!HQ36"")"),0)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IFERROR(__xludf.DUMMYFUNCTION("IMPORTRANGE(""https://docs.google.com/spreadsheets/d/1QqKyyYR6Q21VydFLVH3TRQUabQu_ym0Zz7PgGX0-kHA/edit?usp=sharing"",""แผน!HR36"")"),0)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IFERROR(__xludf.DUMMYFUNCTION("IMPORTRANGE(""https://docs.google.com/spreadsheets/d/1QqKyyYR6Q21VydFLVH3TRQUabQu_ym0Zz7PgGX0-kHA/edit?usp=sharing"",""แผน!HR36"")"),0)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IFERROR(__xludf.DUMMYFUNCTION("IMPORTRANGE(""https://docs.google.com/spreadsheets/d/1XWAQStnk-4SwqDmLtmXYiTMKHgktTP8We1SCoS47DrQ/edit?usp=sharing"",""จัดที่ดิน!AS36"")"),788)</f>
        <v>788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IFERROR(__xludf.DUMMYFUNCTION("IMPORTRANGE(""https://docs.google.com/spreadsheets/d/1XWAQStnk-4SwqDmLtmXYiTMKHgktTP8We1SCoS47DrQ/edit?usp=sharing"",""จัดที่ดิน!AT36"")"),713.48)</f>
        <v>713.48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IFERROR(__xludf.DUMMYFUNCTION("IMPORTRANGE(""https://docs.google.com/spreadsheets/d/1QqKyyYR6Q21VydFLVH3TRQUabQu_ym0Zz7PgGX0-kHA/edit?usp=sharing"",""แผน!HS36"")"),2500)</f>
        <v>2500</v>
      </c>
      <c r="J647" s="892">
        <f ca="1">IFERROR(__xludf.DUMMYFUNCTION("IMPORTRANGE(""https://docs.google.com/spreadsheets/d/1XWAQStnk-4SwqDmLtmXYiTMKHgktTP8We1SCoS47DrQ/edit?usp=sharing"",""จัดที่ดิน!AU36"")"),2665)</f>
        <v>2665</v>
      </c>
      <c r="K647" s="1010">
        <f t="shared" ca="1" si="271"/>
        <v>106.6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IFERROR(__xludf.DUMMYFUNCTION("IMPORTRANGE(""https://docs.google.com/spreadsheets/d/1XWAQStnk-4SwqDmLtmXYiTMKHgktTP8We1SCoS47DrQ/edit?usp=sharing"",""จัดที่ดิน!AV36"")"),1617.08)</f>
        <v>1617.08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IFERROR(__xludf.DUMMYFUNCTION("IMPORTRANGE(""https://docs.google.com/spreadsheets/d/1QqKyyYR6Q21VydFLVH3TRQUabQu_ym0Zz7PgGX0-kHA/edit?usp=sharing"",""แผน!HS36"")"),2500)</f>
        <v>2500</v>
      </c>
      <c r="J649" s="892">
        <f ca="1">IFERROR(__xludf.DUMMYFUNCTION("IMPORTRANGE(""https://docs.google.com/spreadsheets/d/1XWAQStnk-4SwqDmLtmXYiTMKHgktTP8We1SCoS47DrQ/edit?usp=sharing"",""จัดที่ดิน!AW36"")"),2414)</f>
        <v>2414</v>
      </c>
      <c r="K649" s="1010">
        <f t="shared" ca="1" si="271"/>
        <v>96.56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IFERROR(__xludf.DUMMYFUNCTION("IMPORTRANGE(""https://docs.google.com/spreadsheets/d/1XWAQStnk-4SwqDmLtmXYiTMKHgktTP8We1SCoS47DrQ/edit?usp=sharing"",""จัดที่ดิน!AX36"")"),1444.41)</f>
        <v>1444.41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IFERROR(__xludf.DUMMYFUNCTION("IMPORTRANGE(""https://docs.google.com/spreadsheets/d/1QqKyyYR6Q21VydFLVH3TRQUabQu_ym0Zz7PgGX0-kHA/edit?usp=sharing"",""แผน!HS36"")"),2500)</f>
        <v>2500</v>
      </c>
      <c r="J651" s="892">
        <f ca="1">IFERROR(__xludf.DUMMYFUNCTION("IMPORTRANGE(""https://docs.google.com/spreadsheets/d/1XWAQStnk-4SwqDmLtmXYiTMKHgktTP8We1SCoS47DrQ/edit?usp=sharing"",""จัดที่ดิน!AY36"")"),1051)</f>
        <v>1051</v>
      </c>
      <c r="K651" s="1010">
        <f t="shared" ca="1" si="271"/>
        <v>42.04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IFERROR(__xludf.DUMMYFUNCTION("IMPORTRANGE(""https://docs.google.com/spreadsheets/d/1XWAQStnk-4SwqDmLtmXYiTMKHgktTP8We1SCoS47DrQ/edit?usp=sharing"",""จัดที่ดิน!AZ36"")"),638.625)</f>
        <v>638.625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320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28800</v>
      </c>
      <c r="M655" s="1032">
        <f t="shared" ca="1" si="273"/>
        <v>28800</v>
      </c>
      <c r="N655" s="1032">
        <f t="shared" si="273"/>
        <v>31130</v>
      </c>
      <c r="O655" s="1032">
        <f t="shared" ref="O655:O660" ca="1" si="274">IF(L655&gt;0,N655*100/L655,0)</f>
        <v>108.09027777777777</v>
      </c>
      <c r="P655" s="1032">
        <f t="shared" ref="P655:P660" ca="1" si="275">IF(M655&gt;0,N655*100/M655,0)</f>
        <v>108.09027777777777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28800</v>
      </c>
      <c r="M657" s="899">
        <f t="shared" ca="1" si="276"/>
        <v>28800</v>
      </c>
      <c r="N657" s="899">
        <f t="shared" si="276"/>
        <v>31130</v>
      </c>
      <c r="O657" s="899">
        <f t="shared" ca="1" si="274"/>
        <v>108.09027777777777</v>
      </c>
      <c r="P657" s="899">
        <f t="shared" ca="1" si="275"/>
        <v>108.09027777777777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28800</v>
      </c>
      <c r="M658" s="893">
        <f t="shared" ca="1" si="277"/>
        <v>28800</v>
      </c>
      <c r="N658" s="893">
        <f t="shared" si="277"/>
        <v>31130</v>
      </c>
      <c r="O658" s="893">
        <f t="shared" ca="1" si="274"/>
        <v>108.09027777777777</v>
      </c>
      <c r="P658" s="893">
        <f t="shared" ca="1" si="275"/>
        <v>108.09027777777777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IFERROR(__xludf.DUMMYFUNCTION("IMPORTRANGE(""https://docs.google.com/spreadsheets/d/1QqKyyYR6Q21VydFLVH3TRQUabQu_ym0Zz7PgGX0-kHA/edit?usp=sharing"",""แผน!HV36"")"),28800)</f>
        <v>28800</v>
      </c>
      <c r="M660" s="899">
        <f ca="1">L660</f>
        <v>28800</v>
      </c>
      <c r="N660" s="899">
        <f>N661+N662+N663+N664</f>
        <v>31130</v>
      </c>
      <c r="O660" s="899">
        <f t="shared" ca="1" si="274"/>
        <v>108.09027777777777</v>
      </c>
      <c r="P660" s="899">
        <f t="shared" ca="1" si="275"/>
        <v>108.09027777777777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31130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IFERROR(__xludf.DUMMYFUNCTION("IMPORTRANGE(""https://docs.google.com/spreadsheets/d/1QqKyyYR6Q21VydFLVH3TRQUabQu_ym0Zz7PgGX0-kHA/edit?usp=sharing"",""แผน!IA36"")"),320)</f>
        <v>320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IFERROR(__xludf.DUMMYFUNCTION("IMPORTRANGE(""https://docs.google.com/spreadsheets/d/1QqKyyYR6Q21VydFLVH3TRQUabQu_ym0Zz7PgGX0-kHA/edit?usp=sharing"",""แผน!HZ36"")"),6)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IFERROR(__xludf.DUMMYFUNCTION("IMPORTRANGE(""https://docs.google.com/spreadsheets/d/1QqKyyYR6Q21VydFLVH3TRQUabQu_ym0Zz7PgGX0-kHA/edit?usp=sharing"",""แผน!HZ36"")"),6)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2596</v>
      </c>
      <c r="K672" s="893">
        <f t="shared" ref="K672:K675" ca="1" si="281">IF(I$669&gt;0,J672*100/I$669,0)</f>
        <v>811.25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1223</v>
      </c>
      <c r="K673" s="893">
        <f t="shared" ca="1" si="281"/>
        <v>382.1875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582</v>
      </c>
      <c r="K674" s="893">
        <f t="shared" ca="1" si="281"/>
        <v>181.875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IFERROR(__xludf.DUMMYFUNCTION("IMPORTRANGE(""https://docs.google.com/spreadsheets/d/1QqKyyYR6Q21VydFLVH3TRQUabQu_ym0Zz7PgGX0-kHA/edit?usp=sharing"",""แผน!IB36"")"),0)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5200</v>
      </c>
      <c r="M685" s="1032">
        <f t="shared" ca="1" si="282"/>
        <v>5200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5200</v>
      </c>
      <c r="M687" s="899">
        <f t="shared" ca="1" si="285"/>
        <v>5200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5200</v>
      </c>
      <c r="M688" s="893">
        <f t="shared" ca="1" si="286"/>
        <v>5200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IFERROR(__xludf.DUMMYFUNCTION("IMPORTRANGE(""https://docs.google.com/spreadsheets/d/1QqKyyYR6Q21VydFLVH3TRQUabQu_ym0Zz7PgGX0-kHA/edit?usp=sharing"",""แผน!HW36"")"),5200)</f>
        <v>5200</v>
      </c>
      <c r="M690" s="899">
        <f ca="1">L690</f>
        <v>5200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IFERROR(__xludf.DUMMYFUNCTION("IMPORTRANGE(""https://docs.google.com/spreadsheets/d/1QqKyyYR6Q21VydFLVH3TRQUabQu_ym0Zz7PgGX0-kHA/edit?usp=sharing"",""แผน!IC36"")"),0)</f>
        <v>0</v>
      </c>
      <c r="J699" s="892">
        <f ca="1">IFERROR(__xludf.DUMMYFUNCTION("IMPORTRANGE(""https://docs.google.com/spreadsheets/d/1XWAQStnk-4SwqDmLtmXYiTMKHgktTP8We1SCoS47DrQ/edit?usp=sharing"",""จัดที่ดิน!BB36"")"),0)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IFERROR(__xludf.DUMMYFUNCTION("IMPORTRANGE(""https://docs.google.com/spreadsheets/d/1QqKyyYR6Q21VydFLVH3TRQUabQu_ym0Zz7PgGX0-kHA/edit?usp=sharing"",""แผน!ID36"")"),35)</f>
        <v>35</v>
      </c>
      <c r="J700" s="892">
        <f ca="1">IFERROR(__xludf.DUMMYFUNCTION("IMPORTRANGE(""https://docs.google.com/spreadsheets/d/1XWAQStnk-4SwqDmLtmXYiTMKHgktTP8We1SCoS47DrQ/edit?usp=sharing"",""จัดที่ดิน!BD36"")"),5)</f>
        <v>5</v>
      </c>
      <c r="K700" s="893">
        <f t="shared" ca="1" si="290"/>
        <v>14.285714285714286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IFERROR(__xludf.DUMMYFUNCTION("IMPORTRANGE(""https://docs.google.com/spreadsheets/d/1QqKyyYR6Q21VydFLVH3TRQUabQu_ym0Zz7PgGX0-kHA/edit?usp=sharing"",""แผน!IE36"")"),0)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IFERROR(__xludf.DUMMYFUNCTION("IMPORTRANGE(""https://docs.google.com/spreadsheets/d/1QqKyyYR6Q21VydFLVH3TRQUabQu_ym0Zz7PgGX0-kHA/edit?usp=sharing"",""แผน!IF36"")"),0)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IFERROR(__xludf.DUMMYFUNCTION("IMPORTRANGE(""https://docs.google.com/spreadsheets/d/1QqKyyYR6Q21VydFLVH3TRQUabQu_ym0Zz7PgGX0-kHA/edit?usp=sharing"",""แผน!IG36"")"),0)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IFERROR(__xludf.DUMMYFUNCTION("IMPORTRANGE(""https://docs.google.com/spreadsheets/d/1QqKyyYR6Q21VydFLVH3TRQUabQu_ym0Zz7PgGX0-kHA/edit?usp=sharing"",""แผน!IH36"")"),0)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IFERROR(__xludf.DUMMYFUNCTION("IMPORTRANGE(""https://docs.google.com/spreadsheets/d/1XWAQStnk-4SwqDmLtmXYiTMKHgktTP8We1SCoS47DrQ/edit?usp=sharing"",""จัดที่ดิน!BF36"")"),0)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IFERROR(__xludf.DUMMYFUNCTION("IMPORTRANGE(""https://docs.google.com/spreadsheets/d/1XWAQStnk-4SwqDmLtmXYiTMKHgktTP8We1SCoS47DrQ/edit?usp=sharing"",""จัดที่ดิน!BG36"")"),0)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IFERROR(__xludf.DUMMYFUNCTION("IMPORTRANGE(""https://docs.google.com/spreadsheets/d/1QqKyyYR6Q21VydFLVH3TRQUabQu_ym0Zz7PgGX0-kHA/edit?usp=sharing"",""แผน!II36"")"),0)</f>
        <v>0</v>
      </c>
      <c r="J720" s="892">
        <f ca="1">IFERROR(__xludf.DUMMYFUNCTION("IMPORTRANGE(""https://docs.google.com/spreadsheets/d/1XWAQStnk-4SwqDmLtmXYiTMKHgktTP8We1SCoS47DrQ/edit?usp=sharing"",""จัดที่ดิน!BH36"")"),0)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IFERROR(__xludf.DUMMYFUNCTION("IMPORTRANGE(""https://docs.google.com/spreadsheets/d/1QqKyyYR6Q21VydFLVH3TRQUabQu_ym0Zz7PgGX0-kHA/edit?usp=sharing"",""แผน!IJ36"")"),0)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IFERROR(__xludf.DUMMYFUNCTION("IMPORTRANGE(""https://docs.google.com/spreadsheets/d/1QqKyyYR6Q21VydFLVH3TRQUabQu_ym0Zz7PgGX0-kHA/edit?usp=sharing"",""แผน!IK36"")"),0)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IFERROR(__xludf.DUMMYFUNCTION("IMPORTRANGE(""https://docs.google.com/spreadsheets/d/1QqKyyYR6Q21VydFLVH3TRQUabQu_ym0Zz7PgGX0-kHA/edit?usp=sharing"",""แผน!IL36"")"),0)</f>
        <v>0</v>
      </c>
      <c r="J723" s="892">
        <f ca="1">IFERROR(__xludf.DUMMYFUNCTION("IMPORTRANGE(""https://docs.google.com/spreadsheets/d/1XWAQStnk-4SwqDmLtmXYiTMKHgktTP8We1SCoS47DrQ/edit?usp=sharing"",""จัดที่ดิน!BM36"")"),0)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IFERROR(__xludf.DUMMYFUNCTION("IMPORTRANGE(""https://docs.google.com/spreadsheets/d/1XWAQStnk-4SwqDmLtmXYiTMKHgktTP8We1SCoS47DrQ/edit?usp=sharing"",""จัดที่ดิน!BN36"")"),0)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IFERROR(__xludf.DUMMYFUNCTION("IMPORTRANGE(""https://docs.google.com/spreadsheets/d/1QqKyyYR6Q21VydFLVH3TRQUabQu_ym0Zz7PgGX0-kHA/edit?usp=sharing"",""แผน!IM36"")"),0)</f>
        <v>0</v>
      </c>
      <c r="J725" s="892">
        <f ca="1">IFERROR(__xludf.DUMMYFUNCTION("IMPORTRANGE(""https://docs.google.com/spreadsheets/d/1XWAQStnk-4SwqDmLtmXYiTMKHgktTP8We1SCoS47DrQ/edit?usp=sharing"",""จัดที่ดิน!BO36"")"),0)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IFERROR(__xludf.DUMMYFUNCTION("IMPORTRANGE(""https://docs.google.com/spreadsheets/d/1QqKyyYR6Q21VydFLVH3TRQUabQu_ym0Zz7PgGX0-kHA/edit?usp=sharing"",""แผน!IN36"")"),0)</f>
        <v>0</v>
      </c>
      <c r="J726" s="892">
        <f ca="1">IFERROR(__xludf.DUMMYFUNCTION("IMPORTRANGE(""https://docs.google.com/spreadsheets/d/1XWAQStnk-4SwqDmLtmXYiTMKHgktTP8We1SCoS47DrQ/edit?usp=sharing"",""จัดที่ดิน!BR36"")"),0)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IFERROR(__xludf.DUMMYFUNCTION("IMPORTRANGE(""https://docs.google.com/spreadsheets/d/1XWAQStnk-4SwqDmLtmXYiTMKHgktTP8We1SCoS47DrQ/edit?usp=sharing"",""จัดที่ดิน!BS36"")"),0)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IFERROR(__xludf.DUMMYFUNCTION("IMPORTRANGE(""https://docs.google.com/spreadsheets/d/1QqKyyYR6Q21VydFLVH3TRQUabQu_ym0Zz7PgGX0-kHA/edit?usp=sharing"",""แผน!IO36"")"),0)</f>
        <v>0</v>
      </c>
      <c r="J728" s="892">
        <f ca="1">IFERROR(__xludf.DUMMYFUNCTION("IMPORTRANGE(""https://docs.google.com/spreadsheets/d/1XWAQStnk-4SwqDmLtmXYiTMKHgktTP8We1SCoS47DrQ/edit?usp=sharing"",""จัดที่ดิน!BT36"")"),0)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IFERROR(__xludf.DUMMYFUNCTION("IMPORTRANGE(""https://docs.google.com/spreadsheets/d/1QqKyyYR6Q21VydFLVH3TRQUabQu_ym0Zz7PgGX0-kHA/edit?usp=sharing"",""แผน!IP36"")"),0)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5000</v>
      </c>
      <c r="J785" s="804">
        <f t="shared" ca="1" si="318"/>
        <v>1760</v>
      </c>
      <c r="K785" s="805">
        <f ca="1">IF(I785&gt;0,J785*100/I785,0)</f>
        <v>35.200000000000003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335200</v>
      </c>
      <c r="M786" s="1032">
        <f t="shared" ca="1" si="319"/>
        <v>335200</v>
      </c>
      <c r="N786" s="1032">
        <f t="shared" si="319"/>
        <v>231736.57</v>
      </c>
      <c r="O786" s="1032">
        <f t="shared" ref="O786:O791" ca="1" si="320">IF(L786&gt;0,N786*100/L786,0)</f>
        <v>69.133821599045348</v>
      </c>
      <c r="P786" s="1032">
        <f t="shared" ref="P786:P791" ca="1" si="321">IF(M786&gt;0,N786*100/M786,0)</f>
        <v>69.133821599045348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335200</v>
      </c>
      <c r="M788" s="899">
        <f t="shared" ca="1" si="322"/>
        <v>335200</v>
      </c>
      <c r="N788" s="899">
        <f t="shared" si="322"/>
        <v>231736.57</v>
      </c>
      <c r="O788" s="899">
        <f t="shared" ca="1" si="320"/>
        <v>69.133821599045348</v>
      </c>
      <c r="P788" s="899">
        <f t="shared" ca="1" si="321"/>
        <v>69.133821599045348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335200</v>
      </c>
      <c r="M789" s="893">
        <f t="shared" ca="1" si="323"/>
        <v>335200</v>
      </c>
      <c r="N789" s="893">
        <f t="shared" si="323"/>
        <v>231736.57</v>
      </c>
      <c r="O789" s="893">
        <f t="shared" ca="1" si="320"/>
        <v>69.133821599045348</v>
      </c>
      <c r="P789" s="893">
        <f t="shared" ca="1" si="321"/>
        <v>69.133821599045348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IFERROR(__xludf.DUMMYFUNCTION("IMPORTRANGE(""https://docs.google.com/spreadsheets/d/1QqKyyYR6Q21VydFLVH3TRQUabQu_ym0Zz7PgGX0-kHA/edit?usp=sharing"",""แผน!JJ36"")"),335200)</f>
        <v>335200</v>
      </c>
      <c r="M791" s="899">
        <f ca="1">L791</f>
        <v>335200</v>
      </c>
      <c r="N791" s="899">
        <f>N792+N793+N794+N795</f>
        <v>231736.57</v>
      </c>
      <c r="O791" s="899">
        <f t="shared" ca="1" si="320"/>
        <v>69.133821599045348</v>
      </c>
      <c r="P791" s="899">
        <f t="shared" ca="1" si="321"/>
        <v>69.133821599045348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64566.57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v>167170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IFERROR(__xludf.DUMMYFUNCTION("IMPORTRANGE(""https://docs.google.com/spreadsheets/d/1MaWodYyGHDf7siQLGxnXhG4mBNTNIuy296niS2xXulU/edit?usp=sharing"",""RTK!H36"")"),76)</f>
        <v>76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IFERROR(__xludf.DUMMYFUNCTION("IMPORTRANGE(""https://docs.google.com/spreadsheets/d/1MaWodYyGHDf7siQLGxnXhG4mBNTNIuy296niS2xXulU/edit?usp=sharing"",""RTK!G36"")"),5000)</f>
        <v>5000</v>
      </c>
      <c r="J801" s="819">
        <f ca="1">IFERROR(__xludf.DUMMYFUNCTION("IMPORTRANGE(""https://docs.google.com/spreadsheets/d/1MaWodYyGHDf7siQLGxnXhG4mBNTNIuy296niS2xXulU/edit?usp=sharing"",""RTK!I36"")"),1760)</f>
        <v>1760</v>
      </c>
      <c r="K801" s="820">
        <f ca="1">IF(I801&gt;0,J801*100/I801,0)</f>
        <v>35.200000000000003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IFERROR(__xludf.DUMMYFUNCTION("IMPORTRANGE(""https://docs.google.com/spreadsheets/d/1MaWodYyGHDf7siQLGxnXhG4mBNTNIuy296niS2xXulU/edit?usp=sharing"",""RTK!L36"")"),0)</f>
        <v>0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IFERROR(__xludf.DUMMYFUNCTION("IMPORTRANGE(""https://docs.google.com/spreadsheets/d/1MaWodYyGHDf7siQLGxnXhG4mBNTNIuy296niS2xXulU/edit?usp=sharing"",""RTK!K36"")"),0)</f>
        <v>0</v>
      </c>
      <c r="J803" s="819">
        <f ca="1">IFERROR(__xludf.DUMMYFUNCTION("IMPORTRANGE(""https://docs.google.com/spreadsheets/d/1MaWodYyGHDf7siQLGxnXhG4mBNTNIuy296niS2xXulU/edit?usp=sharing"",""RTK!M36"")"),0)</f>
        <v>0</v>
      </c>
      <c r="K803" s="820">
        <f t="shared" ref="K803:K804" ca="1" si="327">IF(I803&gt;0,J803*100/I803,0)</f>
        <v>0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IFERROR(__xludf.DUMMYFUNCTION("IMPORTRANGE(""https://docs.google.com/spreadsheets/d/19vJNZY_5yjcGF2XGBMNZRCAIB0Kwfpjp8YEOfu-bneM/edit?usp=sharing"",""งานกองทุน!D36"")"),15000000)</f>
        <v>15000000</v>
      </c>
      <c r="J821" s="892">
        <f ca="1">IFERROR(__xludf.DUMMYFUNCTION("IMPORTRANGE(""https://docs.google.com/spreadsheets/d/19vJNZY_5yjcGF2XGBMNZRCAIB0Kwfpjp8YEOfu-bneM/edit?usp=sharing"",""งานกองทุน!F36"")"),6281200)</f>
        <v>6281200</v>
      </c>
      <c r="K821" s="893">
        <f t="shared" ref="K821:K828" ca="1" si="336">IF(I821&gt;0,J821*100/I821,0)</f>
        <v>41.87466666666667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IFERROR(__xludf.DUMMYFUNCTION("IMPORTRANGE(""https://docs.google.com/spreadsheets/d/19vJNZY_5yjcGF2XGBMNZRCAIB0Kwfpjp8YEOfu-bneM/edit?usp=sharing"",""งานกองทุน!C36"")"),391)</f>
        <v>391</v>
      </c>
      <c r="J822" s="892">
        <f ca="1">IFERROR(__xludf.DUMMYFUNCTION("IMPORTRANGE(""https://docs.google.com/spreadsheets/d/19vJNZY_5yjcGF2XGBMNZRCAIB0Kwfpjp8YEOfu-bneM/edit?usp=sharing"",""งานกองทุน!E36"")"),179)</f>
        <v>179</v>
      </c>
      <c r="K822" s="893">
        <f t="shared" ca="1" si="336"/>
        <v>45.78005115089514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892">
        <f ca="1">IFERROR(__xludf.DUMMYFUNCTION("IMPORTRANGE(""https://docs.google.com/spreadsheets/d/19vJNZY_5yjcGF2XGBMNZRCAIB0Kwfpjp8YEOfu-bneM/edit?usp=sharing"",""งานกองทุน!K36"")"),495406.06)</f>
        <v>495406.06</v>
      </c>
      <c r="K823" s="893">
        <f t="shared" ca="1" si="336"/>
        <v>6.7572909138150283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IFERROR(__xludf.DUMMYFUNCTION("IMPORTRANGE(""https://docs.google.com/spreadsheets/d/19vJNZY_5yjcGF2XGBMNZRCAIB0Kwfpjp8YEOfu-bneM/edit?usp=sharing"",""งานกองทุน!H36"")"),232)</f>
        <v>232</v>
      </c>
      <c r="J824" s="892">
        <f ca="1">IFERROR(__xludf.DUMMYFUNCTION("IMPORTRANGE(""https://docs.google.com/spreadsheets/d/19vJNZY_5yjcGF2XGBMNZRCAIB0Kwfpjp8YEOfu-bneM/edit?usp=sharing"",""งานกองทุน!J36"")"),64)</f>
        <v>64</v>
      </c>
      <c r="K824" s="893">
        <f t="shared" ca="1" si="336"/>
        <v>27.586206896551722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IFERROR(__xludf.DUMMYFUNCTION("IMPORTRANGE(""https://docs.google.com/spreadsheets/d/19vJNZY_5yjcGF2XGBMNZRCAIB0Kwfpjp8YEOfu-bneM/edit?usp=sharing"",""งานกองทุน!N36"")"),51685.48)</f>
        <v>51685.48</v>
      </c>
      <c r="J825" s="892">
        <f ca="1">IFERROR(__xludf.DUMMYFUNCTION("IMPORTRANGE(""https://docs.google.com/spreadsheets/d/19vJNZY_5yjcGF2XGBMNZRCAIB0Kwfpjp8YEOfu-bneM/edit?usp=sharing"",""งานกองทุน!P36"")"),51346.89)</f>
        <v>51346.89</v>
      </c>
      <c r="K825" s="893">
        <f t="shared" ca="1" si="336"/>
        <v>99.344903055945295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IFERROR(__xludf.DUMMYFUNCTION("IMPORTRANGE(""https://docs.google.com/spreadsheets/d/19vJNZY_5yjcGF2XGBMNZRCAIB0Kwfpjp8YEOfu-bneM/edit?usp=sharing"",""งานกองทุน!M36"")"),268)</f>
        <v>268</v>
      </c>
      <c r="J826" s="892">
        <f ca="1">IFERROR(__xludf.DUMMYFUNCTION("IMPORTRANGE(""https://docs.google.com/spreadsheets/d/19vJNZY_5yjcGF2XGBMNZRCAIB0Kwfpjp8YEOfu-bneM/edit?usp=sharing"",""งานกองทุน!O36"")"),165)</f>
        <v>165</v>
      </c>
      <c r="K826" s="893">
        <f t="shared" ca="1" si="336"/>
        <v>61.567164179104481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IFERROR(__xludf.DUMMYFUNCTION("IMPORTRANGE(""https://docs.google.com/spreadsheets/d/19vJNZY_5yjcGF2XGBMNZRCAIB0Kwfpjp8YEOfu-bneM/edit?usp=sharing"",""งานกองทุน!S36"")"),11300000)</f>
        <v>11300000</v>
      </c>
      <c r="J827" s="892">
        <f ca="1">IFERROR(__xludf.DUMMYFUNCTION("IMPORTRANGE(""https://docs.google.com/spreadsheets/d/19vJNZY_5yjcGF2XGBMNZRCAIB0Kwfpjp8YEOfu-bneM/edit?usp=sharing"",""งานกองทุน!U36"")"),4068000)</f>
        <v>4068000</v>
      </c>
      <c r="K827" s="893">
        <f t="shared" ca="1" si="336"/>
        <v>36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IFERROR(__xludf.DUMMYFUNCTION("IMPORTRANGE(""https://docs.google.com/spreadsheets/d/19vJNZY_5yjcGF2XGBMNZRCAIB0Kwfpjp8YEOfu-bneM/edit?usp=sharing"",""งานกองทุน!R36"")"),452)</f>
        <v>452</v>
      </c>
      <c r="J828" s="1149">
        <f ca="1">IFERROR(__xludf.DUMMYFUNCTION("IMPORTRANGE(""https://docs.google.com/spreadsheets/d/19vJNZY_5yjcGF2XGBMNZRCAIB0Kwfpjp8YEOfu-bneM/edit?usp=sharing"",""งานกองทุน!T36"")"),105)</f>
        <v>105</v>
      </c>
      <c r="K828" s="1251">
        <f t="shared" ca="1" si="336"/>
        <v>23.23008849557522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D13F-560A-4F69-BC5F-439E34A71731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342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8540907</v>
      </c>
      <c r="M8" s="879">
        <f t="shared" ca="1" si="0"/>
        <v>8024390</v>
      </c>
      <c r="N8" s="879">
        <f t="shared" ca="1" si="0"/>
        <v>4893456.21</v>
      </c>
      <c r="O8" s="879">
        <f t="shared" ref="O8:O16" ca="1" si="1">IF(L8&gt;0,N8*100/L8,0)</f>
        <v>57.294338997017533</v>
      </c>
      <c r="P8" s="879">
        <f t="shared" ref="P8:P16" ca="1" si="2">IF(M8&gt;0,N8*100/M8,0)</f>
        <v>60.982282890038995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8540907</v>
      </c>
      <c r="M10" s="886">
        <f t="shared" ca="1" si="3"/>
        <v>8024390</v>
      </c>
      <c r="N10" s="886">
        <f t="shared" ca="1" si="3"/>
        <v>4893456.21</v>
      </c>
      <c r="O10" s="886">
        <f t="shared" ca="1" si="1"/>
        <v>57.294338997017533</v>
      </c>
      <c r="P10" s="886">
        <f t="shared" ca="1" si="2"/>
        <v>60.982282890038995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6280707</v>
      </c>
      <c r="M11" s="893">
        <f t="shared" ca="1" si="4"/>
        <v>5764190</v>
      </c>
      <c r="N11" s="893">
        <f t="shared" ca="1" si="4"/>
        <v>2636256.21</v>
      </c>
      <c r="O11" s="893">
        <f t="shared" ca="1" si="1"/>
        <v>41.97387666706949</v>
      </c>
      <c r="P11" s="893">
        <f t="shared" ca="1" si="2"/>
        <v>45.735067893320661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6280707</v>
      </c>
      <c r="M13" s="899">
        <f t="shared" ca="1" si="5"/>
        <v>5764190</v>
      </c>
      <c r="N13" s="899">
        <f t="shared" ca="1" si="5"/>
        <v>2636256.21</v>
      </c>
      <c r="O13" s="899">
        <f t="shared" ca="1" si="1"/>
        <v>41.97387666706949</v>
      </c>
      <c r="P13" s="899">
        <f t="shared" ca="1" si="2"/>
        <v>45.735067893320661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2260200</v>
      </c>
      <c r="M14" s="893">
        <f t="shared" ca="1" si="6"/>
        <v>2260200</v>
      </c>
      <c r="N14" s="893">
        <f t="shared" ca="1" si="6"/>
        <v>2257200</v>
      </c>
      <c r="O14" s="893">
        <f t="shared" ca="1" si="1"/>
        <v>99.867268383328906</v>
      </c>
      <c r="P14" s="893">
        <f t="shared" ca="1" si="2"/>
        <v>99.867268383328906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2260200</v>
      </c>
      <c r="M16" s="905">
        <f t="shared" ca="1" si="7"/>
        <v>2260200</v>
      </c>
      <c r="N16" s="905">
        <f t="shared" ca="1" si="7"/>
        <v>2257200</v>
      </c>
      <c r="O16" s="905">
        <f t="shared" ca="1" si="1"/>
        <v>99.867268383328906</v>
      </c>
      <c r="P16" s="905">
        <f t="shared" ca="1" si="2"/>
        <v>99.867268383328906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5737552</v>
      </c>
      <c r="M18" s="879">
        <f t="shared" ca="1" si="8"/>
        <v>5221035</v>
      </c>
      <c r="N18" s="879">
        <f t="shared" ca="1" si="8"/>
        <v>4160481.21</v>
      </c>
      <c r="O18" s="879">
        <f t="shared" ref="O18:O26" ca="1" si="9">IF(L18&gt;0,N18*100/L18,0)</f>
        <v>72.513176525458945</v>
      </c>
      <c r="P18" s="879">
        <f t="shared" ref="P18:P26" ca="1" si="10">IF(M18&gt;0,N18*100/M18,0)</f>
        <v>79.686905182593108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5737552</v>
      </c>
      <c r="M20" s="886">
        <f t="shared" ca="1" si="11"/>
        <v>5221035</v>
      </c>
      <c r="N20" s="886">
        <f t="shared" ca="1" si="11"/>
        <v>4160481.21</v>
      </c>
      <c r="O20" s="886">
        <f t="shared" ca="1" si="9"/>
        <v>72.513176525458945</v>
      </c>
      <c r="P20" s="886">
        <f t="shared" ca="1" si="10"/>
        <v>79.686905182593108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3477352</v>
      </c>
      <c r="M21" s="893">
        <f t="shared" ca="1" si="12"/>
        <v>2960835</v>
      </c>
      <c r="N21" s="893">
        <f t="shared" ca="1" si="12"/>
        <v>1903281.21</v>
      </c>
      <c r="O21" s="893">
        <f t="shared" ca="1" si="9"/>
        <v>54.733636686766253</v>
      </c>
      <c r="P21" s="893">
        <f t="shared" ca="1" si="10"/>
        <v>64.281907299798874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3477352</v>
      </c>
      <c r="M23" s="899">
        <f t="shared" ca="1" si="13"/>
        <v>2960835</v>
      </c>
      <c r="N23" s="899">
        <f t="shared" ca="1" si="13"/>
        <v>1903281.21</v>
      </c>
      <c r="O23" s="899">
        <f t="shared" ca="1" si="9"/>
        <v>54.733636686766253</v>
      </c>
      <c r="P23" s="899">
        <f t="shared" ca="1" si="10"/>
        <v>64.281907299798874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2260200</v>
      </c>
      <c r="M24" s="893">
        <f t="shared" ca="1" si="14"/>
        <v>2260200</v>
      </c>
      <c r="N24" s="893">
        <f t="shared" ca="1" si="14"/>
        <v>2257200</v>
      </c>
      <c r="O24" s="893">
        <f t="shared" ca="1" si="9"/>
        <v>99.867268383328906</v>
      </c>
      <c r="P24" s="893">
        <f t="shared" ca="1" si="10"/>
        <v>99.867268383328906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2260200</v>
      </c>
      <c r="M26" s="905">
        <f t="shared" ca="1" si="15"/>
        <v>2260200</v>
      </c>
      <c r="N26" s="905">
        <f t="shared" ca="1" si="15"/>
        <v>2257200</v>
      </c>
      <c r="O26" s="905">
        <f t="shared" ca="1" si="9"/>
        <v>99.867268383328906</v>
      </c>
      <c r="P26" s="905">
        <f t="shared" ca="1" si="10"/>
        <v>99.867268383328906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2803355</v>
      </c>
      <c r="M28" s="879">
        <f t="shared" ca="1" si="16"/>
        <v>2803355</v>
      </c>
      <c r="N28" s="879">
        <f t="shared" si="16"/>
        <v>732975</v>
      </c>
      <c r="O28" s="879">
        <f t="shared" ref="O28:O37" ca="1" si="17">IF(L28&gt;0,N28*100/L28,0)</f>
        <v>26.146349641768523</v>
      </c>
      <c r="P28" s="879">
        <f t="shared" ref="P28:P37" ca="1" si="18">IF(M28&gt;0,N28*100/M28,0)</f>
        <v>26.146349641768523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2803355</v>
      </c>
      <c r="M30" s="886">
        <f t="shared" ca="1" si="19"/>
        <v>2803355</v>
      </c>
      <c r="N30" s="886">
        <f t="shared" si="19"/>
        <v>732975</v>
      </c>
      <c r="O30" s="886">
        <f t="shared" ca="1" si="17"/>
        <v>26.146349641768523</v>
      </c>
      <c r="P30" s="886">
        <f t="shared" ca="1" si="18"/>
        <v>26.146349641768523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2803355</v>
      </c>
      <c r="M31" s="893">
        <f t="shared" ca="1" si="20"/>
        <v>2803355</v>
      </c>
      <c r="N31" s="893">
        <f t="shared" si="20"/>
        <v>732975</v>
      </c>
      <c r="O31" s="893">
        <f t="shared" ca="1" si="17"/>
        <v>26.146349641768523</v>
      </c>
      <c r="P31" s="893">
        <f t="shared" ca="1" si="18"/>
        <v>26.146349641768523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2803355</v>
      </c>
      <c r="M33" s="899">
        <f t="shared" ca="1" si="21"/>
        <v>2803355</v>
      </c>
      <c r="N33" s="899">
        <f t="shared" si="21"/>
        <v>732975</v>
      </c>
      <c r="O33" s="899">
        <f t="shared" ca="1" si="17"/>
        <v>26.146349641768523</v>
      </c>
      <c r="P33" s="899">
        <f t="shared" ca="1" si="18"/>
        <v>26.146349641768523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5737552</v>
      </c>
      <c r="M37" s="912">
        <f t="shared" ca="1" si="24"/>
        <v>5221035</v>
      </c>
      <c r="N37" s="912">
        <f t="shared" ca="1" si="24"/>
        <v>4160481.21</v>
      </c>
      <c r="O37" s="912">
        <f t="shared" ca="1" si="17"/>
        <v>72.513176525458945</v>
      </c>
      <c r="P37" s="912">
        <f t="shared" ca="1" si="18"/>
        <v>79.686905182593108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698242</v>
      </c>
      <c r="M41" s="938">
        <f t="shared" ca="1" si="25"/>
        <v>704691</v>
      </c>
      <c r="N41" s="938">
        <f t="shared" ca="1" si="25"/>
        <v>371797</v>
      </c>
      <c r="O41" s="938">
        <f t="shared" ref="O41:O49" ca="1" si="26">IF(L41&gt;0,N41*100/L41,0)</f>
        <v>53.24758464830245</v>
      </c>
      <c r="P41" s="938">
        <f t="shared" ref="P41:P49" ca="1" si="27">IF(M41&gt;0,N41*100/M41,0)</f>
        <v>52.760287842472799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698242</v>
      </c>
      <c r="M43" s="944">
        <f t="shared" ca="1" si="28"/>
        <v>704691</v>
      </c>
      <c r="N43" s="944">
        <f t="shared" ca="1" si="28"/>
        <v>371797</v>
      </c>
      <c r="O43" s="944">
        <f t="shared" ca="1" si="26"/>
        <v>53.24758464830245</v>
      </c>
      <c r="P43" s="944">
        <f t="shared" ca="1" si="27"/>
        <v>52.760287842472799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698242</v>
      </c>
      <c r="M44" s="893">
        <f t="shared" ca="1" si="29"/>
        <v>704691</v>
      </c>
      <c r="N44" s="893">
        <f t="shared" ca="1" si="29"/>
        <v>371797</v>
      </c>
      <c r="O44" s="893">
        <f t="shared" ca="1" si="26"/>
        <v>53.24758464830245</v>
      </c>
      <c r="P44" s="893">
        <f t="shared" ca="1" si="27"/>
        <v>52.760287842472799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IFERROR(__xludf.DUMMYFUNCTION("IMPORTRANGE(""https://docs.google.com/spreadsheets/d/1MeEWN-I1oV_STSDYn1IFDPWt_1FKiwhDph83XaGc0o0/edit?usp=sharing"",""งบพรบ!M37"")"),698242)</f>
        <v>698242</v>
      </c>
      <c r="M46" s="899">
        <f ca="1">IFERROR(__xludf.DUMMYFUNCTION("IMPORTRANGE(""https://docs.google.com/spreadsheets/d/1MeEWN-I1oV_STSDYn1IFDPWt_1FKiwhDph83XaGc0o0/edit?usp=sharing"",""งบพรบ!R37"")"),704691)</f>
        <v>704691</v>
      </c>
      <c r="N46" s="899">
        <f ca="1">IFERROR(__xludf.DUMMYFUNCTION("IMPORTRANGE(""https://docs.google.com/spreadsheets/d/1MeEWN-I1oV_STSDYn1IFDPWt_1FKiwhDph83XaGc0o0/edit?usp=sharing"",""งบพรบ!T37"")"),371797)</f>
        <v>371797</v>
      </c>
      <c r="O46" s="899">
        <f t="shared" ca="1" si="26"/>
        <v>53.24758464830245</v>
      </c>
      <c r="P46" s="899">
        <f t="shared" ca="1" si="27"/>
        <v>52.760287842472799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IFERROR(__xludf.DUMMYFUNCTION("IMPORTRANGE(""https://docs.google.com/spreadsheets/d/1MeEWN-I1oV_STSDYn1IFDPWt_1FKiwhDph83XaGc0o0/edit?usp=sharing"",""งบพรบ!P37"")"),0)</f>
        <v>0</v>
      </c>
      <c r="M49" s="905">
        <f ca="1">IFERROR(__xludf.DUMMYFUNCTION("IMPORTRANGE(""https://docs.google.com/spreadsheets/d/1MeEWN-I1oV_STSDYn1IFDPWt_1FKiwhDph83XaGc0o0/edit?usp=sharing"",""งบพรบ!S37"")"),0)</f>
        <v>0</v>
      </c>
      <c r="N49" s="905">
        <f ca="1">IFERROR(__xludf.DUMMYFUNCTION("IMPORTRANGE(""https://docs.google.com/spreadsheets/d/1MeEWN-I1oV_STSDYn1IFDPWt_1FKiwhDph83XaGc0o0/edit?usp=sharing"",""งบพรบ!U37"")"),0)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2736800</v>
      </c>
      <c r="M53" s="968">
        <f t="shared" ca="1" si="31"/>
        <v>2587550</v>
      </c>
      <c r="N53" s="968">
        <f t="shared" ca="1" si="31"/>
        <v>2502832.63</v>
      </c>
      <c r="O53" s="968">
        <f t="shared" ref="O53:O61" ca="1" si="32">IF(L53&gt;0,N53*100/L53,0)</f>
        <v>91.451060727857353</v>
      </c>
      <c r="P53" s="968">
        <f t="shared" ref="P53:P61" ca="1" si="33">IF(M53&gt;0,N53*100/M53,0)</f>
        <v>96.725962010395932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2736800</v>
      </c>
      <c r="M55" s="974">
        <f t="shared" ca="1" si="34"/>
        <v>2587550</v>
      </c>
      <c r="N55" s="974">
        <f t="shared" ca="1" si="34"/>
        <v>2502832.63</v>
      </c>
      <c r="O55" s="974">
        <f t="shared" ca="1" si="32"/>
        <v>91.451060727857353</v>
      </c>
      <c r="P55" s="974">
        <f t="shared" ca="1" si="33"/>
        <v>96.725962010395932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612200</v>
      </c>
      <c r="M56" s="893">
        <f t="shared" ca="1" si="35"/>
        <v>462950</v>
      </c>
      <c r="N56" s="893">
        <f t="shared" ca="1" si="35"/>
        <v>381232.63</v>
      </c>
      <c r="O56" s="893">
        <f t="shared" ca="1" si="32"/>
        <v>62.272562887945114</v>
      </c>
      <c r="P56" s="893">
        <f t="shared" ca="1" si="33"/>
        <v>82.348553839507503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IFERROR(__xludf.DUMMYFUNCTION("IMPORTRANGE(""https://docs.google.com/spreadsheets/d/1MeEWN-I1oV_STSDYn1IFDPWt_1FKiwhDph83XaGc0o0/edit?usp=sharing"",""งบพรบ!W37"")"),612200)</f>
        <v>612200</v>
      </c>
      <c r="M58" s="899">
        <f ca="1">IFERROR(__xludf.DUMMYFUNCTION("IMPORTRANGE(""https://docs.google.com/spreadsheets/d/1MeEWN-I1oV_STSDYn1IFDPWt_1FKiwhDph83XaGc0o0/edit?usp=sharing"",""งบพรบ!AB37"")"),462950)</f>
        <v>462950</v>
      </c>
      <c r="N58" s="899">
        <f ca="1">IFERROR(__xludf.DUMMYFUNCTION("IMPORTRANGE(""https://docs.google.com/spreadsheets/d/1MeEWN-I1oV_STSDYn1IFDPWt_1FKiwhDph83XaGc0o0/edit?usp=sharing"",""งบพรบ!AD37"")"),381232.63)</f>
        <v>381232.63</v>
      </c>
      <c r="O58" s="899">
        <f t="shared" ca="1" si="32"/>
        <v>62.272562887945114</v>
      </c>
      <c r="P58" s="899">
        <f t="shared" ca="1" si="33"/>
        <v>82.348553839507503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2124600</v>
      </c>
      <c r="M59" s="893">
        <f t="shared" ca="1" si="36"/>
        <v>2124600</v>
      </c>
      <c r="N59" s="893">
        <f t="shared" ca="1" si="36"/>
        <v>2121600</v>
      </c>
      <c r="O59" s="893">
        <f t="shared" ca="1" si="32"/>
        <v>99.858796950014124</v>
      </c>
      <c r="P59" s="893">
        <f t="shared" ca="1" si="33"/>
        <v>99.858796950014124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IFERROR(__xludf.DUMMYFUNCTION("IMPORTRANGE(""https://docs.google.com/spreadsheets/d/1MeEWN-I1oV_STSDYn1IFDPWt_1FKiwhDph83XaGc0o0/edit?usp=sharing"",""งบพรบ!Z37"")"),2124600)</f>
        <v>2124600</v>
      </c>
      <c r="M61" s="905">
        <f ca="1">IFERROR(__xludf.DUMMYFUNCTION("IMPORTRANGE(""https://docs.google.com/spreadsheets/d/1MeEWN-I1oV_STSDYn1IFDPWt_1FKiwhDph83XaGc0o0/edit?usp=sharing"",""งบพรบ!AC37"")"),2124600)</f>
        <v>2124600</v>
      </c>
      <c r="N61" s="905">
        <f ca="1">IFERROR(__xludf.DUMMYFUNCTION("IMPORTRANGE(""https://docs.google.com/spreadsheets/d/1MeEWN-I1oV_STSDYn1IFDPWt_1FKiwhDph83XaGc0o0/edit?usp=sharing"",""งบพรบ!AE37"")"),2121600)</f>
        <v>2121600</v>
      </c>
      <c r="O61" s="905">
        <f t="shared" ca="1" si="32"/>
        <v>99.858796950014124</v>
      </c>
      <c r="P61" s="905">
        <f t="shared" ca="1" si="33"/>
        <v>99.858796950014124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IFERROR(__xludf.DUMMYFUNCTION("IMPORTRANGE(""https://docs.google.com/spreadsheets/d/1MeEWN-I1oV_STSDYn1IFDPWt_1FKiwhDph83XaGc0o0/edit?usp=sharing"",""งบพรบ!AG37"")"),0)</f>
        <v>0</v>
      </c>
      <c r="M71" s="899">
        <f ca="1">IFERROR(__xludf.DUMMYFUNCTION("IMPORTRANGE(""https://docs.google.com/spreadsheets/d/1MeEWN-I1oV_STSDYn1IFDPWt_1FKiwhDph83XaGc0o0/edit?usp=sharing"",""งบพรบ!AL37"")"),0)</f>
        <v>0</v>
      </c>
      <c r="N71" s="899">
        <f ca="1">IFERROR(__xludf.DUMMYFUNCTION("IMPORTRANGE(""https://docs.google.com/spreadsheets/d/1MeEWN-I1oV_STSDYn1IFDPWt_1FKiwhDph83XaGc0o0/edit?usp=sharing"",""งบพรบ!AN37"")"),0)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IFERROR(__xludf.DUMMYFUNCTION("IMPORTRANGE(""https://docs.google.com/spreadsheets/d/1MeEWN-I1oV_STSDYn1IFDPWt_1FKiwhDph83XaGc0o0/edit?usp=sharing"",""งบพรบ!AJ37"")"),0)</f>
        <v>0</v>
      </c>
      <c r="M74" s="899">
        <f ca="1">IFERROR(__xludf.DUMMYFUNCTION("IMPORTRANGE(""https://docs.google.com/spreadsheets/d/1MeEWN-I1oV_STSDYn1IFDPWt_1FKiwhDph83XaGc0o0/edit?usp=sharing"",""งบพรบ!AM37"")"),0)</f>
        <v>0</v>
      </c>
      <c r="N74" s="899">
        <f ca="1">IFERROR(__xludf.DUMMYFUNCTION("IMPORTRANGE(""https://docs.google.com/spreadsheets/d/1MeEWN-I1oV_STSDYn1IFDPWt_1FKiwhDph83XaGc0o0/edit?usp=sharing"",""งบพรบ!AO37"")"),0)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IFERROR(__xludf.DUMMYFUNCTION("IMPORTRANGE(""https://docs.google.com/spreadsheets/d/1QqKyyYR6Q21VydFLVH3TRQUabQu_ym0Zz7PgGX0-kHA/edit?usp=sharing"",""แผน!H37"")"),0)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IFERROR(__xludf.DUMMYFUNCTION("IMPORTRANGE(""https://docs.google.com/spreadsheets/d/1QqKyyYR6Q21VydFLVH3TRQUabQu_ym0Zz7PgGX0-kHA/edit?usp=sharing"",""แผน!I37"")"),0)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IFERROR(__xludf.DUMMYFUNCTION("IMPORTRANGE(""https://docs.google.com/spreadsheets/d/1QqKyyYR6Q21VydFLVH3TRQUabQu_ym0Zz7PgGX0-kHA/edit?usp=sharing"",""แผน!F37"")"),0)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IFERROR(__xludf.DUMMYFUNCTION("IMPORTRANGE(""https://docs.google.com/spreadsheets/d/1QqKyyYR6Q21VydFLVH3TRQUabQu_ym0Zz7PgGX0-kHA/edit?usp=sharing"",""แผน!G37"")"),0)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IFERROR(__xludf.DUMMYFUNCTION("IMPORTRANGE(""https://docs.google.com/spreadsheets/d/1QqKyyYR6Q21VydFLVH3TRQUabQu_ym0Zz7PgGX0-kHA/edit?usp=sharing"",""แผน!D37"")"),0)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IFERROR(__xludf.DUMMYFUNCTION("IMPORTRANGE(""https://docs.google.com/spreadsheets/d/1QqKyyYR6Q21VydFLVH3TRQUabQu_ym0Zz7PgGX0-kHA/edit?usp=sharing"",""แผน!E37"")"),0)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IFERROR(__xludf.DUMMYFUNCTION("IMPORTRANGE(""https://docs.google.com/spreadsheets/d/1QqKyyYR6Q21VydFLVH3TRQUabQu_ym0Zz7PgGX0-kHA/edit?usp=sharing"",""แผน!J37"")"),0)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115640</v>
      </c>
      <c r="M88" s="1004">
        <f t="shared" ca="1" si="49"/>
        <v>107090</v>
      </c>
      <c r="N88" s="1004">
        <f t="shared" ca="1" si="49"/>
        <v>25445</v>
      </c>
      <c r="O88" s="1004">
        <f t="shared" ref="O88:O96" ca="1" si="50">IF(L88&gt;0,N88*100/L88,0)</f>
        <v>22.003631961259082</v>
      </c>
      <c r="P88" s="1004">
        <f t="shared" ref="P88:P96" ca="1" si="51">IF(M88&gt;0,N88*100/M88,0)</f>
        <v>23.760388458306096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115640</v>
      </c>
      <c r="M90" s="899">
        <f t="shared" ca="1" si="52"/>
        <v>107090</v>
      </c>
      <c r="N90" s="899">
        <f t="shared" ca="1" si="52"/>
        <v>25445</v>
      </c>
      <c r="O90" s="899">
        <f t="shared" ca="1" si="50"/>
        <v>22.003631961259082</v>
      </c>
      <c r="P90" s="899">
        <f t="shared" ca="1" si="51"/>
        <v>23.760388458306096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115640</v>
      </c>
      <c r="M91" s="893">
        <f t="shared" ca="1" si="53"/>
        <v>107090</v>
      </c>
      <c r="N91" s="893">
        <f t="shared" ca="1" si="53"/>
        <v>25445</v>
      </c>
      <c r="O91" s="893">
        <f t="shared" ca="1" si="50"/>
        <v>22.003631961259082</v>
      </c>
      <c r="P91" s="893">
        <f t="shared" ca="1" si="51"/>
        <v>23.760388458306096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IFERROR(__xludf.DUMMYFUNCTION("IMPORTRANGE(""https://docs.google.com/spreadsheets/d/1MeEWN-I1oV_STSDYn1IFDPWt_1FKiwhDph83XaGc0o0/edit?usp=sharing"",""งบพรบ!AQ37"")"),115640)</f>
        <v>115640</v>
      </c>
      <c r="M93" s="899">
        <f ca="1">IFERROR(__xludf.DUMMYFUNCTION("IMPORTRANGE(""https://docs.google.com/spreadsheets/d/1MeEWN-I1oV_STSDYn1IFDPWt_1FKiwhDph83XaGc0o0/edit?usp=sharing"",""งบพรบ!AV37"")"),107090)</f>
        <v>107090</v>
      </c>
      <c r="N93" s="899">
        <f ca="1">IFERROR(__xludf.DUMMYFUNCTION("IMPORTRANGE(""https://docs.google.com/spreadsheets/d/1MeEWN-I1oV_STSDYn1IFDPWt_1FKiwhDph83XaGc0o0/edit?usp=sharing"",""งบพรบ!AX37"")"),25445)</f>
        <v>25445</v>
      </c>
      <c r="O93" s="899">
        <f t="shared" ca="1" si="50"/>
        <v>22.003631961259082</v>
      </c>
      <c r="P93" s="899">
        <f t="shared" ca="1" si="51"/>
        <v>23.760388458306096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IFERROR(__xludf.DUMMYFUNCTION("IMPORTRANGE(""https://docs.google.com/spreadsheets/d/1MeEWN-I1oV_STSDYn1IFDPWt_1FKiwhDph83XaGc0o0/edit?usp=sharing"",""งบพรบ!AT37"")"),0)</f>
        <v>0</v>
      </c>
      <c r="M96" s="899">
        <f ca="1">IFERROR(__xludf.DUMMYFUNCTION("IMPORTRANGE(""https://docs.google.com/spreadsheets/d/1MeEWN-I1oV_STSDYn1IFDPWt_1FKiwhDph83XaGc0o0/edit?usp=sharing"",""งบพรบ!AW37"")"),0)</f>
        <v>0</v>
      </c>
      <c r="N96" s="899">
        <f ca="1">IFERROR(__xludf.DUMMYFUNCTION("IMPORTRANGE(""https://docs.google.com/spreadsheets/d/1MeEWN-I1oV_STSDYn1IFDPWt_1FKiwhDph83XaGc0o0/edit?usp=sharing"",""งบพรบ!AY37"")"),0)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IFERROR(__xludf.DUMMYFUNCTION("IMPORTRANGE(""https://docs.google.com/spreadsheets/d/1QqKyyYR6Q21VydFLVH3TRQUabQu_ym0Zz7PgGX0-kHA/edit?usp=sharing"",""แผน!K37"")"),30)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IFERROR(__xludf.DUMMYFUNCTION("IMPORTRANGE(""https://docs.google.com/spreadsheets/d/1QqKyyYR6Q21VydFLVH3TRQUabQu_ym0Zz7PgGX0-kHA/edit?usp=sharing"",""แผน!L37"")"),10)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IFERROR(__xludf.DUMMYFUNCTION("IMPORTRANGE(""https://docs.google.com/spreadsheets/d/1QqKyyYR6Q21VydFLVH3TRQUabQu_ym0Zz7PgGX0-kHA/edit?usp=sharing"",""แผน!M37"")"),3)</f>
        <v>3</v>
      </c>
      <c r="J100" s="892">
        <f>J107+J110</f>
        <v>3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IFERROR(__xludf.DUMMYFUNCTION("IMPORTRANGE(""https://docs.google.com/spreadsheets/d/1QqKyyYR6Q21VydFLVH3TRQUabQu_ym0Zz7PgGX0-kHA/edit?usp=sharing"",""แผน!N37"")"),30)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IFERROR(__xludf.DUMMYFUNCTION("IMPORTRANGE(""https://docs.google.com/spreadsheets/d/1QqKyyYR6Q21VydFLVH3TRQUabQu_ym0Zz7PgGX0-kHA/edit?usp=sharing"",""แผน!O37"")"),10)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IFERROR(__xludf.DUMMYFUNCTION("IMPORTRANGE(""https://docs.google.com/spreadsheets/d/1QqKyyYR6Q21VydFLVH3TRQUabQu_ym0Zz7PgGX0-kHA/edit?usp=sharing"",""แผน!O37"")"),10)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IFERROR(__xludf.DUMMYFUNCTION("IMPORTRANGE(""https://docs.google.com/spreadsheets/d/1QqKyyYR6Q21VydFLVH3TRQUabQu_ym0Zz7PgGX0-kHA/edit?usp=sharing"",""แผน!P37"")"),2)</f>
        <v>2</v>
      </c>
      <c r="J106" s="1024">
        <v>2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IFERROR(__xludf.DUMMYFUNCTION("IMPORTRANGE(""https://docs.google.com/spreadsheets/d/1QqKyyYR6Q21VydFLVH3TRQUabQu_ym0Zz7PgGX0-kHA/edit?usp=sharing"",""แผน!P37"")"),2)</f>
        <v>2</v>
      </c>
      <c r="J107" s="1024">
        <v>2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IFERROR(__xludf.DUMMYFUNCTION("IMPORTRANGE(""https://docs.google.com/spreadsheets/d/1QqKyyYR6Q21VydFLVH3TRQUabQu_ym0Zz7PgGX0-kHA/edit?usp=sharing"",""แผน!Q37"")"),1)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IFERROR(__xludf.DUMMYFUNCTION("IMPORTRANGE(""https://docs.google.com/spreadsheets/d/1QqKyyYR6Q21VydFLVH3TRQUabQu_ym0Zz7PgGX0-kHA/edit?usp=sharing"",""แผน!Q37"")"),1)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IFERROR(__xludf.DUMMYFUNCTION("IMPORTRANGE(""https://docs.google.com/spreadsheets/d/1QqKyyYR6Q21VydFLVH3TRQUabQu_ym0Zz7PgGX0-kHA/edit?usp=sharing"",""แผน!R37"")"),10)</f>
        <v>10</v>
      </c>
      <c r="J111" s="1031">
        <f>J114</f>
        <v>10</v>
      </c>
      <c r="K111" s="1032">
        <f t="shared" ca="1" si="58"/>
        <v>100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3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IFERROR(__xludf.DUMMYFUNCTION("IMPORTRANGE(""https://docs.google.com/spreadsheets/d/1QqKyyYR6Q21VydFLVH3TRQUabQu_ym0Zz7PgGX0-kHA/edit?usp=sharing"",""แผน!R37"")"),10)</f>
        <v>10</v>
      </c>
      <c r="J113" s="1024">
        <v>10</v>
      </c>
      <c r="K113" s="893">
        <f t="shared" ca="1" si="58"/>
        <v>100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IFERROR(__xludf.DUMMYFUNCTION("IMPORTRANGE(""https://docs.google.com/spreadsheets/d/1QqKyyYR6Q21VydFLVH3TRQUabQu_ym0Zz7PgGX0-kHA/edit?usp=sharing"",""แผน!R37"")"),10)</f>
        <v>10</v>
      </c>
      <c r="J114" s="1024">
        <v>10</v>
      </c>
      <c r="K114" s="893">
        <f t="shared" ca="1" si="58"/>
        <v>100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IFERROR(__xludf.DUMMYFUNCTION("IMPORTRANGE(""https://docs.google.com/spreadsheets/d/1QqKyyYR6Q21VydFLVH3TRQUabQu_ym0Zz7PgGX0-kHA/edit?usp=sharing"",""แผน!S37"")"),2)</f>
        <v>2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IFERROR(__xludf.DUMMYFUNCTION("IMPORTRANGE(""https://docs.google.com/spreadsheets/d/1QqKyyYR6Q21VydFLVH3TRQUabQu_ym0Zz7PgGX0-kHA/edit?usp=sharing"",""แผน!T37"")"),1)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IFERROR(__xludf.DUMMYFUNCTION("IMPORTRANGE(""https://docs.google.com/spreadsheets/d/1MeEWN-I1oV_STSDYn1IFDPWt_1FKiwhDph83XaGc0o0/edit?usp=sharing"",""งบพรบ!BA37"")"),0)</f>
        <v>0</v>
      </c>
      <c r="M124" s="899">
        <f ca="1">IFERROR(__xludf.DUMMYFUNCTION("IMPORTRANGE(""https://docs.google.com/spreadsheets/d/1MeEWN-I1oV_STSDYn1IFDPWt_1FKiwhDph83XaGc0o0/edit?usp=sharing"",""งบพรบ!BF37"")"),0)</f>
        <v>0</v>
      </c>
      <c r="N124" s="899">
        <f ca="1">IFERROR(__xludf.DUMMYFUNCTION("IMPORTRANGE(""https://docs.google.com/spreadsheets/d/1MeEWN-I1oV_STSDYn1IFDPWt_1FKiwhDph83XaGc0o0/edit?usp=sharing"",""งบพรบ!BH37"")"),0)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IFERROR(__xludf.DUMMYFUNCTION("IMPORTRANGE(""https://docs.google.com/spreadsheets/d/1MeEWN-I1oV_STSDYn1IFDPWt_1FKiwhDph83XaGc0o0/edit?usp=sharing"",""งบพรบ!BD37"")"),0)</f>
        <v>0</v>
      </c>
      <c r="M127" s="899">
        <f ca="1">IFERROR(__xludf.DUMMYFUNCTION("IMPORTRANGE(""https://docs.google.com/spreadsheets/d/1MeEWN-I1oV_STSDYn1IFDPWt_1FKiwhDph83XaGc0o0/edit?usp=sharing"",""งบพรบ!BG37"")"),0)</f>
        <v>0</v>
      </c>
      <c r="N127" s="899">
        <f ca="1">IFERROR(__xludf.DUMMYFUNCTION("IMPORTRANGE(""https://docs.google.com/spreadsheets/d/1MeEWN-I1oV_STSDYn1IFDPWt_1FKiwhDph83XaGc0o0/edit?usp=sharing"",""งบพรบ!BI37"")"),0)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IFERROR(__xludf.DUMMYFUNCTION("IMPORTRANGE(""https://docs.google.com/spreadsheets/d/1MeEWN-I1oV_STSDYn1IFDPWt_1FKiwhDph83XaGc0o0/edit?usp=sharing"",""งบพรบ!BK37"")"),0)</f>
        <v>0</v>
      </c>
      <c r="M137" s="899">
        <f ca="1">IFERROR(__xludf.DUMMYFUNCTION("IMPORTRANGE(""https://docs.google.com/spreadsheets/d/1MeEWN-I1oV_STSDYn1IFDPWt_1FKiwhDph83XaGc0o0/edit?usp=sharing"",""งบพรบ!BP37"")"),0)</f>
        <v>0</v>
      </c>
      <c r="N137" s="899">
        <f ca="1">IFERROR(__xludf.DUMMYFUNCTION("IMPORTRANGE(""https://docs.google.com/spreadsheets/d/1MeEWN-I1oV_STSDYn1IFDPWt_1FKiwhDph83XaGc0o0/edit?usp=sharing"",""งบพรบ!BR37"")"),0)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IFERROR(__xludf.DUMMYFUNCTION("IMPORTRANGE(""https://docs.google.com/spreadsheets/d/1MeEWN-I1oV_STSDYn1IFDPWt_1FKiwhDph83XaGc0o0/edit?usp=sharing"",""งบพรบ!BN37"")"),0)</f>
        <v>0</v>
      </c>
      <c r="M140" s="899">
        <f ca="1">IFERROR(__xludf.DUMMYFUNCTION("IMPORTRANGE(""https://docs.google.com/spreadsheets/d/1MeEWN-I1oV_STSDYn1IFDPWt_1FKiwhDph83XaGc0o0/edit?usp=sharing"",""งบพรบ!BQ37"")"),0)</f>
        <v>0</v>
      </c>
      <c r="N140" s="899">
        <f ca="1">IFERROR(__xludf.DUMMYFUNCTION("IMPORTRANGE(""https://docs.google.com/spreadsheets/d/1MeEWN-I1oV_STSDYn1IFDPWt_1FKiwhDph83XaGc0o0/edit?usp=sharing"",""งบพรบ!BS37"")"),0)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IFERROR(__xludf.DUMMYFUNCTION("IMPORTRANGE(""https://docs.google.com/spreadsheets/d/1QqKyyYR6Q21VydFLVH3TRQUabQu_ym0Zz7PgGX0-kHA/edit?usp=sharing"",""แผน!U37"")"),0)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IFERROR(__xludf.DUMMYFUNCTION("IMPORTRANGE(""https://docs.google.com/spreadsheets/d/1QqKyyYR6Q21VydFLVH3TRQUabQu_ym0Zz7PgGX0-kHA/edit?usp=sharing"",""แผน!V37"")"),0)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IFERROR(__xludf.DUMMYFUNCTION("IMPORTRANGE(""https://docs.google.com/spreadsheets/d/1QqKyyYR6Q21VydFLVH3TRQUabQu_ym0Zz7PgGX0-kHA/edit?usp=sharing"",""แผน!W37"")"),0)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19</v>
      </c>
      <c r="K148" s="995">
        <f ca="1">IF(I148&gt;0,J148*100/I148,0)</f>
        <v>95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10000</v>
      </c>
      <c r="N149" s="1004">
        <f t="shared" ca="1" si="77"/>
        <v>6495</v>
      </c>
      <c r="O149" s="1004">
        <f t="shared" ref="O149:O157" ca="1" si="78">IF(L149&gt;0,N149*100/L149,0)</f>
        <v>64.95</v>
      </c>
      <c r="P149" s="1004">
        <f t="shared" ref="P149:P157" ca="1" si="79">IF(M149&gt;0,N149*100/M149,0)</f>
        <v>64.95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10000</v>
      </c>
      <c r="N151" s="899">
        <f t="shared" ca="1" si="80"/>
        <v>6495</v>
      </c>
      <c r="O151" s="899">
        <f t="shared" ca="1" si="78"/>
        <v>64.95</v>
      </c>
      <c r="P151" s="899">
        <f t="shared" ca="1" si="79"/>
        <v>64.95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10000</v>
      </c>
      <c r="N152" s="893">
        <f t="shared" ca="1" si="81"/>
        <v>6495</v>
      </c>
      <c r="O152" s="893">
        <f t="shared" ca="1" si="78"/>
        <v>64.95</v>
      </c>
      <c r="P152" s="893">
        <f t="shared" ca="1" si="79"/>
        <v>64.95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IFERROR(__xludf.DUMMYFUNCTION("IMPORTRANGE(""https://docs.google.com/spreadsheets/d/1MeEWN-I1oV_STSDYn1IFDPWt_1FKiwhDph83XaGc0o0/edit?usp=sharing"",""งบพรบ!BU37"")"),10000)</f>
        <v>10000</v>
      </c>
      <c r="M154" s="899">
        <f ca="1">IFERROR(__xludf.DUMMYFUNCTION("IMPORTRANGE(""https://docs.google.com/spreadsheets/d/1MeEWN-I1oV_STSDYn1IFDPWt_1FKiwhDph83XaGc0o0/edit?usp=sharing"",""งบพรบ!BZ37"")"),10000)</f>
        <v>10000</v>
      </c>
      <c r="N154" s="899">
        <f ca="1">IFERROR(__xludf.DUMMYFUNCTION("IMPORTRANGE(""https://docs.google.com/spreadsheets/d/1MeEWN-I1oV_STSDYn1IFDPWt_1FKiwhDph83XaGc0o0/edit?usp=sharing"",""งบพรบ!CB37"")"),6495)</f>
        <v>6495</v>
      </c>
      <c r="O154" s="899">
        <f t="shared" ca="1" si="78"/>
        <v>64.95</v>
      </c>
      <c r="P154" s="899">
        <f t="shared" ca="1" si="79"/>
        <v>64.95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IFERROR(__xludf.DUMMYFUNCTION("IMPORTRANGE(""https://docs.google.com/spreadsheets/d/1MeEWN-I1oV_STSDYn1IFDPWt_1FKiwhDph83XaGc0o0/edit?usp=sharing"",""งบพรบ!BX37"")"),0)</f>
        <v>0</v>
      </c>
      <c r="M157" s="899">
        <f ca="1">IFERROR(__xludf.DUMMYFUNCTION("IMPORTRANGE(""https://docs.google.com/spreadsheets/d/1MeEWN-I1oV_STSDYn1IFDPWt_1FKiwhDph83XaGc0o0/edit?usp=sharing"",""งบพรบ!CA37"")"),0)</f>
        <v>0</v>
      </c>
      <c r="N157" s="899">
        <f ca="1">IFERROR(__xludf.DUMMYFUNCTION("IMPORTRANGE(""https://docs.google.com/spreadsheets/d/1MeEWN-I1oV_STSDYn1IFDPWt_1FKiwhDph83XaGc0o0/edit?usp=sharing"",""งบพรบ!CC37"")"),0)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IFERROR(__xludf.DUMMYFUNCTION("IMPORTRANGE(""https://docs.google.com/spreadsheets/d/1QqKyyYR6Q21VydFLVH3TRQUabQu_ym0Zz7PgGX0-kHA/edit?usp=sharing"",""แผน!X37"")"),20)</f>
        <v>20</v>
      </c>
      <c r="J159" s="1024">
        <v>19</v>
      </c>
      <c r="K159" s="893">
        <f ca="1">IF(I159&gt;0,J159*100/I159,0)</f>
        <v>95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39810</v>
      </c>
      <c r="N165" s="1004">
        <f t="shared" ca="1" si="84"/>
        <v>39810</v>
      </c>
      <c r="O165" s="1004">
        <f t="shared" ref="O165:O173" ca="1" si="85">IF(L165&gt;0,N165*100/L165,0)</f>
        <v>172.63660017346055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39810</v>
      </c>
      <c r="N167" s="899">
        <f t="shared" ca="1" si="87"/>
        <v>39810</v>
      </c>
      <c r="O167" s="899">
        <f t="shared" ca="1" si="85"/>
        <v>172.63660017346055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39810</v>
      </c>
      <c r="N168" s="893">
        <f t="shared" ca="1" si="88"/>
        <v>39810</v>
      </c>
      <c r="O168" s="893">
        <f t="shared" ca="1" si="85"/>
        <v>172.63660017346055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IFERROR(__xludf.DUMMYFUNCTION("IMPORTRANGE(""https://docs.google.com/spreadsheets/d/1MeEWN-I1oV_STSDYn1IFDPWt_1FKiwhDph83XaGc0o0/edit?usp=sharing"",""งบพรบ!CE37"")"),23060)</f>
        <v>23060</v>
      </c>
      <c r="M170" s="899">
        <f ca="1">IFERROR(__xludf.DUMMYFUNCTION("IMPORTRANGE(""https://docs.google.com/spreadsheets/d/1MeEWN-I1oV_STSDYn1IFDPWt_1FKiwhDph83XaGc0o0/edit?usp=sharing"",""งบพรบ!CJ37"")"),39810)</f>
        <v>39810</v>
      </c>
      <c r="N170" s="899">
        <f ca="1">IFERROR(__xludf.DUMMYFUNCTION("IMPORTRANGE(""https://docs.google.com/spreadsheets/d/1MeEWN-I1oV_STSDYn1IFDPWt_1FKiwhDph83XaGc0o0/edit?usp=sharing"",""งบพรบ!CL37"")"),39810)</f>
        <v>39810</v>
      </c>
      <c r="O170" s="899">
        <f t="shared" ca="1" si="85"/>
        <v>172.63660017346055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IFERROR(__xludf.DUMMYFUNCTION("IMPORTRANGE(""https://docs.google.com/spreadsheets/d/1MeEWN-I1oV_STSDYn1IFDPWt_1FKiwhDph83XaGc0o0/edit?usp=sharing"",""งบพรบ!CH37"")"),0)</f>
        <v>0</v>
      </c>
      <c r="M173" s="899">
        <f ca="1">IFERROR(__xludf.DUMMYFUNCTION("IMPORTRANGE(""https://docs.google.com/spreadsheets/d/1MeEWN-I1oV_STSDYn1IFDPWt_1FKiwhDph83XaGc0o0/edit?usp=sharing"",""งบพรบ!CK37"")"),0)</f>
        <v>0</v>
      </c>
      <c r="N173" s="899">
        <f ca="1">IFERROR(__xludf.DUMMYFUNCTION("IMPORTRANGE(""https://docs.google.com/spreadsheets/d/1MeEWN-I1oV_STSDYn1IFDPWt_1FKiwhDph83XaGc0o0/edit?usp=sharing"",""งบพรบ!CM37"")"),0)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IFERROR(__xludf.DUMMYFUNCTION("IMPORTRANGE(""https://docs.google.com/spreadsheets/d/1QqKyyYR6Q21VydFLVH3TRQUabQu_ym0Zz7PgGX0-kHA/edit?usp=sharing"",""แผน!Y37"")"),12)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134000</v>
      </c>
      <c r="M181" s="1004">
        <f t="shared" ca="1" si="92"/>
        <v>244100</v>
      </c>
      <c r="N181" s="1004">
        <f t="shared" ca="1" si="92"/>
        <v>187204</v>
      </c>
      <c r="O181" s="1004">
        <f t="shared" ref="O181:O189" ca="1" si="93">IF(L181&gt;0,N181*100/L181,0)</f>
        <v>139.70447761194029</v>
      </c>
      <c r="P181" s="1004">
        <f t="shared" ref="P181:P189" ca="1" si="94">IF(M181&gt;0,N181*100/M181,0)</f>
        <v>76.691519868906184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134000</v>
      </c>
      <c r="M183" s="899">
        <f t="shared" ca="1" si="95"/>
        <v>244100</v>
      </c>
      <c r="N183" s="899">
        <f t="shared" ca="1" si="95"/>
        <v>187204</v>
      </c>
      <c r="O183" s="899">
        <f t="shared" ca="1" si="93"/>
        <v>139.70447761194029</v>
      </c>
      <c r="P183" s="899">
        <f t="shared" ca="1" si="94"/>
        <v>76.691519868906184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134000</v>
      </c>
      <c r="M184" s="893">
        <f t="shared" ca="1" si="96"/>
        <v>244100</v>
      </c>
      <c r="N184" s="893">
        <f t="shared" ca="1" si="96"/>
        <v>187204</v>
      </c>
      <c r="O184" s="893">
        <f t="shared" ca="1" si="93"/>
        <v>139.70447761194029</v>
      </c>
      <c r="P184" s="893">
        <f t="shared" ca="1" si="94"/>
        <v>76.691519868906184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IFERROR(__xludf.DUMMYFUNCTION("IMPORTRANGE(""https://docs.google.com/spreadsheets/d/1MeEWN-I1oV_STSDYn1IFDPWt_1FKiwhDph83XaGc0o0/edit?usp=sharing"",""งบพรบ!CO37"")"),134000)</f>
        <v>134000</v>
      </c>
      <c r="M186" s="899">
        <f ca="1">IFERROR(__xludf.DUMMYFUNCTION("IMPORTRANGE(""https://docs.google.com/spreadsheets/d/1MeEWN-I1oV_STSDYn1IFDPWt_1FKiwhDph83XaGc0o0/edit?usp=sharing"",""งบพรบ!CT37"")"),244100)</f>
        <v>244100</v>
      </c>
      <c r="N186" s="899">
        <f ca="1">IFERROR(__xludf.DUMMYFUNCTION("IMPORTRANGE(""https://docs.google.com/spreadsheets/d/1MeEWN-I1oV_STSDYn1IFDPWt_1FKiwhDph83XaGc0o0/edit?usp=sharing"",""งบพรบ!CV37"")"),187204)</f>
        <v>187204</v>
      </c>
      <c r="O186" s="899">
        <f t="shared" ca="1" si="93"/>
        <v>139.70447761194029</v>
      </c>
      <c r="P186" s="899">
        <f t="shared" ca="1" si="94"/>
        <v>76.691519868906184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IFERROR(__xludf.DUMMYFUNCTION("IMPORTRANGE(""https://docs.google.com/spreadsheets/d/1MeEWN-I1oV_STSDYn1IFDPWt_1FKiwhDph83XaGc0o0/edit?usp=sharing"",""งบพรบ!CR37"")"),0)</f>
        <v>0</v>
      </c>
      <c r="M189" s="899">
        <f ca="1">IFERROR(__xludf.DUMMYFUNCTION("IMPORTRANGE(""https://docs.google.com/spreadsheets/d/1MeEWN-I1oV_STSDYn1IFDPWt_1FKiwhDph83XaGc0o0/edit?usp=sharing"",""งบพรบ!CU37"")"),0)</f>
        <v>0</v>
      </c>
      <c r="N189" s="899">
        <f ca="1">IFERROR(__xludf.DUMMYFUNCTION("IMPORTRANGE(""https://docs.google.com/spreadsheets/d/1MeEWN-I1oV_STSDYn1IFDPWt_1FKiwhDph83XaGc0o0/edit?usp=sharing"",""งบพรบ!CW37"")"),0)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1</v>
      </c>
      <c r="K190" s="1090">
        <f ca="1">IF(I190&gt;0,J190*100/I190,0)</f>
        <v>25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IFERROR(__xludf.DUMMYFUNCTION("IMPORTRANGE(""https://docs.google.com/spreadsheets/d/1QqKyyYR6Q21VydFLVH3TRQUabQu_ym0Zz7PgGX0-kHA/edit?usp=sharing"",""แผน!Z37"")"),6000)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IFERROR(__xludf.DUMMYFUNCTION("IMPORTRANGE(""https://docs.google.com/spreadsheets/d/1QqKyyYR6Q21VydFLVH3TRQUabQu_ym0Zz7PgGX0-kHA/edit?usp=sharing"",""แผน!AC37"")"),4)</f>
        <v>4</v>
      </c>
      <c r="J193" s="1024">
        <v>1</v>
      </c>
      <c r="K193" s="893">
        <f ca="1">IF(I193&gt;0,J193*100/I193,0)</f>
        <v>25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0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0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2</v>
      </c>
      <c r="J197" s="1089">
        <f t="shared" si="99"/>
        <v>2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36000</v>
      </c>
      <c r="M198" s="1004"/>
      <c r="N198" s="1004">
        <f>N199+N200+N201+N202</f>
        <v>18000</v>
      </c>
      <c r="O198" s="1004">
        <f ca="1">IF(L198&gt;0,N198*100/L198,0)</f>
        <v>50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IFERROR(__xludf.DUMMYFUNCTION("IMPORTRANGE(""https://docs.google.com/spreadsheets/d/1QqKyyYR6Q21VydFLVH3TRQUabQu_ym0Zz7PgGX0-kHA/edit?usp=sharing"",""แผน!AE37"")"),2000)</f>
        <v>2000</v>
      </c>
      <c r="M199" s="893"/>
      <c r="N199" s="1096">
        <v>2000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IFERROR(__xludf.DUMMYFUNCTION("IMPORTRANGE(""https://docs.google.com/spreadsheets/d/1QqKyyYR6Q21VydFLVH3TRQUabQu_ym0Zz7PgGX0-kHA/edit?usp=sharing"",""แผน!AF37"")"),16000)</f>
        <v>16000</v>
      </c>
      <c r="M200" s="893"/>
      <c r="N200" s="1096">
        <v>16000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IFERROR(__xludf.DUMMYFUNCTION("IMPORTRANGE(""https://docs.google.com/spreadsheets/d/1QqKyyYR6Q21VydFLVH3TRQUabQu_ym0Zz7PgGX0-kHA/edit?usp=sharing"",""แผน!AG37"")"),8000)</f>
        <v>8000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IFERROR(__xludf.DUMMYFUNCTION("IMPORTRANGE(""https://docs.google.com/spreadsheets/d/1QqKyyYR6Q21VydFLVH3TRQUabQu_ym0Zz7PgGX0-kHA/edit?usp=sharing"",""แผน!AH37"")"),10000)</f>
        <v>10000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IFERROR(__xludf.DUMMYFUNCTION("IMPORTRANGE(""https://docs.google.com/spreadsheets/d/1QqKyyYR6Q21VydFLVH3TRQUabQu_ym0Zz7PgGX0-kHA/edit?usp=sharing"",""แผน!AI37"")"),2)</f>
        <v>2</v>
      </c>
      <c r="J204" s="1024">
        <v>2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2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2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6</v>
      </c>
      <c r="J208" s="1089">
        <f t="shared" si="101"/>
        <v>6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84000</v>
      </c>
      <c r="M209" s="1004"/>
      <c r="N209" s="1004">
        <f>N210+N211+N212</f>
        <v>54000</v>
      </c>
      <c r="O209" s="1004">
        <f ca="1">IF(L209&gt;0,N209*100/L209,0)</f>
        <v>64.285714285714292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IFERROR(__xludf.DUMMYFUNCTION("IMPORTRANGE(""https://docs.google.com/spreadsheets/d/1QqKyyYR6Q21VydFLVH3TRQUabQu_ym0Zz7PgGX0-kHA/edit?usp=sharing"",""แผน!AK37"")"),6000)</f>
        <v>6000</v>
      </c>
      <c r="M210" s="893"/>
      <c r="N210" s="1096">
        <v>6000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IFERROR(__xludf.DUMMYFUNCTION("IMPORTRANGE(""https://docs.google.com/spreadsheets/d/1QqKyyYR6Q21VydFLVH3TRQUabQu_ym0Zz7PgGX0-kHA/edit?usp=sharing"",""แผน!AL37"")"),30000)</f>
        <v>30000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IFERROR(__xludf.DUMMYFUNCTION("IMPORTRANGE(""https://docs.google.com/spreadsheets/d/1QqKyyYR6Q21VydFLVH3TRQUabQu_ym0Zz7PgGX0-kHA/edit?usp=sharing"",""แผน!AM37"")"),48000)</f>
        <v>48000</v>
      </c>
      <c r="M212" s="893"/>
      <c r="N212" s="1096">
        <v>48000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IFERROR(__xludf.DUMMYFUNCTION("IMPORTRANGE(""https://docs.google.com/spreadsheets/d/1QqKyyYR6Q21VydFLVH3TRQUabQu_ym0Zz7PgGX0-kHA/edit?usp=sharing"",""แผน!AN37"")"),6)</f>
        <v>6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IFERROR(__xludf.DUMMYFUNCTION("IMPORTRANGE(""https://docs.google.com/spreadsheets/d/1QqKyyYR6Q21VydFLVH3TRQUabQu_ym0Zz7PgGX0-kHA/edit?usp=sharing"",""แผน!AN37"")"),6)</f>
        <v>6</v>
      </c>
      <c r="J215" s="1024">
        <v>6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20000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8000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IFERROR(__xludf.DUMMYFUNCTION("IMPORTRANGE(""https://docs.google.com/spreadsheets/d/1QqKyyYR6Q21VydFLVH3TRQUabQu_ym0Zz7PgGX0-kHA/edit?usp=sharing"",""แผน!AP37"")"),3000)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IFERROR(__xludf.DUMMYFUNCTION("IMPORTRANGE(""https://docs.google.com/spreadsheets/d/1QqKyyYR6Q21VydFLVH3TRQUabQu_ym0Zz7PgGX0-kHA/edit?usp=sharing"",""แผน!AQ37"")"),5000)</f>
        <v>5000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IFERROR(__xludf.DUMMYFUNCTION("IMPORTRANGE(""https://docs.google.com/spreadsheets/d/1QqKyyYR6Q21VydFLVH3TRQUabQu_ym0Zz7PgGX0-kHA/edit?usp=sharing"",""แผน!AR37"")"),0)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IFERROR(__xludf.DUMMYFUNCTION("IMPORTRANGE(""https://docs.google.com/spreadsheets/d/1QqKyyYR6Q21VydFLVH3TRQUabQu_ym0Zz7PgGX0-kHA/edit?usp=sharing"",""แผน!AT37"")"),20000)</f>
        <v>20000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IFERROR(__xludf.DUMMYFUNCTION("IMPORTRANGE(""https://docs.google.com/spreadsheets/d/1QqKyyYR6Q21VydFLVH3TRQUabQu_ym0Zz7PgGX0-kHA/edit?usp=sharing"",""แผน!AT37"")"),20000)</f>
        <v>20000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IFERROR(__xludf.DUMMYFUNCTION("IMPORTRANGE(""https://docs.google.com/spreadsheets/d/1QqKyyYR6Q21VydFLVH3TRQUabQu_ym0Zz7PgGX0-kHA/edit?usp=sharing"",""แผน!AS37"")"),0)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IFERROR(__xludf.DUMMYFUNCTION("IMPORTRANGE(""https://docs.google.com/spreadsheets/d/1QqKyyYR6Q21VydFLVH3TRQUabQu_ym0Zz7PgGX0-kHA/edit?usp=sharing"",""แผน!AV37"")"),0)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IFERROR(__xludf.DUMMYFUNCTION("IMPORTRANGE(""https://docs.google.com/spreadsheets/d/1QqKyyYR6Q21VydFLVH3TRQUabQu_ym0Zz7PgGX0-kHA/edit?usp=sharing"",""แผน!AW37"")"),0)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IFERROR(__xludf.DUMMYFUNCTION("IMPORTRANGE(""https://docs.google.com/spreadsheets/d/1QqKyyYR6Q21VydFLVH3TRQUabQu_ym0Zz7PgGX0-kHA/edit?usp=sharing"",""แผน!AX37"")"),0)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IFERROR(__xludf.DUMMYFUNCTION("IMPORTRANGE(""https://docs.google.com/spreadsheets/d/1QqKyyYR6Q21VydFLVH3TRQUabQu_ym0Zz7PgGX0-kHA/edit?usp=sharing"",""แผน!AY37"")"),0)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IFERROR(__xludf.DUMMYFUNCTION("IMPORTRANGE(""https://docs.google.com/spreadsheets/d/1QqKyyYR6Q21VydFLVH3TRQUabQu_ym0Zz7PgGX0-kHA/edit?usp=sharing"",""แผน!BE37"")"),0)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IFERROR(__xludf.DUMMYFUNCTION("IMPORTRANGE(""https://docs.google.com/spreadsheets/d/1QqKyyYR6Q21VydFLVH3TRQUabQu_ym0Zz7PgGX0-kHA/edit?usp=sharing"",""แผน!AZ37"")"),0)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IFERROR(__xludf.DUMMYFUNCTION("IMPORTRANGE(""https://docs.google.com/spreadsheets/d/1QqKyyYR6Q21VydFLVH3TRQUabQu_ym0Zz7PgGX0-kHA/edit?usp=sharing"",""แผน!BA37"")"),0)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IFERROR(__xludf.DUMMYFUNCTION("IMPORTRANGE(""https://docs.google.com/spreadsheets/d/1QqKyyYR6Q21VydFLVH3TRQUabQu_ym0Zz7PgGX0-kHA/edit?usp=sharing"",""แผน!BB37"")"),0)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IFERROR(__xludf.DUMMYFUNCTION("IMPORTRANGE(""https://docs.google.com/spreadsheets/d/1QqKyyYR6Q21VydFLVH3TRQUabQu_ym0Zz7PgGX0-kHA/edit?usp=sharing"",""แผน!BC37"")"),0)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IFERROR(__xludf.DUMMYFUNCTION("IMPORTRANGE(""https://docs.google.com/spreadsheets/d/1QqKyyYR6Q21VydFLVH3TRQUabQu_ym0Zz7PgGX0-kHA/edit?usp=sharing"",""แผน!BF37"")"),0)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30</v>
      </c>
      <c r="J260" s="1073">
        <f t="shared" si="115"/>
        <v>30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177500</v>
      </c>
      <c r="M261" s="1004">
        <f t="shared" ca="1" si="116"/>
        <v>135500</v>
      </c>
      <c r="N261" s="1004">
        <f t="shared" ca="1" si="116"/>
        <v>90726</v>
      </c>
      <c r="O261" s="1004">
        <f t="shared" ref="O261:O269" ca="1" si="117">IF(L261&gt;0,N261*100/L261,0)</f>
        <v>51.113239436619722</v>
      </c>
      <c r="P261" s="1004">
        <f t="shared" ref="P261:P269" ca="1" si="118">IF(M261&gt;0,N261*100/M261,0)</f>
        <v>66.956457564575643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177500</v>
      </c>
      <c r="M263" s="899">
        <f t="shared" ca="1" si="119"/>
        <v>135500</v>
      </c>
      <c r="N263" s="899">
        <f t="shared" ca="1" si="119"/>
        <v>90726</v>
      </c>
      <c r="O263" s="899">
        <f t="shared" ca="1" si="117"/>
        <v>51.113239436619722</v>
      </c>
      <c r="P263" s="899">
        <f t="shared" ca="1" si="118"/>
        <v>66.956457564575643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177500</v>
      </c>
      <c r="M264" s="893">
        <f t="shared" ca="1" si="120"/>
        <v>135500</v>
      </c>
      <c r="N264" s="893">
        <f t="shared" ca="1" si="120"/>
        <v>90726</v>
      </c>
      <c r="O264" s="893">
        <f t="shared" ca="1" si="117"/>
        <v>51.113239436619722</v>
      </c>
      <c r="P264" s="893">
        <f t="shared" ca="1" si="118"/>
        <v>66.956457564575643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IFERROR(__xludf.DUMMYFUNCTION("IMPORTRANGE(""https://docs.google.com/spreadsheets/d/1MeEWN-I1oV_STSDYn1IFDPWt_1FKiwhDph83XaGc0o0/edit?usp=sharing"",""งบพรบ!CY37"")"),177500)</f>
        <v>177500</v>
      </c>
      <c r="M266" s="899">
        <f ca="1">IFERROR(__xludf.DUMMYFUNCTION("IMPORTRANGE(""https://docs.google.com/spreadsheets/d/1MeEWN-I1oV_STSDYn1IFDPWt_1FKiwhDph83XaGc0o0/edit?usp=sharing"",""งบพรบ!DD37"")"),135500)</f>
        <v>135500</v>
      </c>
      <c r="N266" s="899">
        <f ca="1">IFERROR(__xludf.DUMMYFUNCTION("IMPORTRANGE(""https://docs.google.com/spreadsheets/d/1MeEWN-I1oV_STSDYn1IFDPWt_1FKiwhDph83XaGc0o0/edit?usp=sharing"",""งบพรบ!DF37"")"),90726)</f>
        <v>90726</v>
      </c>
      <c r="O266" s="899">
        <f t="shared" ca="1" si="117"/>
        <v>51.113239436619722</v>
      </c>
      <c r="P266" s="899">
        <f t="shared" ca="1" si="118"/>
        <v>66.956457564575643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IFERROR(__xludf.DUMMYFUNCTION("IMPORTRANGE(""https://docs.google.com/spreadsheets/d/1MeEWN-I1oV_STSDYn1IFDPWt_1FKiwhDph83XaGc0o0/edit?usp=sharing"",""งบพรบ!DB37"")"),0)</f>
        <v>0</v>
      </c>
      <c r="M269" s="899">
        <f ca="1">IFERROR(__xludf.DUMMYFUNCTION("IMPORTRANGE(""https://docs.google.com/spreadsheets/d/1MeEWN-I1oV_STSDYn1IFDPWt_1FKiwhDph83XaGc0o0/edit?usp=sharing"",""งบพรบ!DE37"")"),0)</f>
        <v>0</v>
      </c>
      <c r="N269" s="899">
        <f ca="1">IFERROR(__xludf.DUMMYFUNCTION("IMPORTRANGE(""https://docs.google.com/spreadsheets/d/1MeEWN-I1oV_STSDYn1IFDPWt_1FKiwhDph83XaGc0o0/edit?usp=sharing"",""งบพรบ!DG37"")"),0)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IFERROR(__xludf.DUMMYFUNCTION("IMPORTRANGE(""https://docs.google.com/spreadsheets/d/1QqKyyYR6Q21VydFLVH3TRQUabQu_ym0Zz7PgGX0-kHA/edit?usp=sharing"",""แผน!EA37"")"),30)</f>
        <v>30</v>
      </c>
      <c r="J271" s="1024">
        <v>30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10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100</v>
      </c>
      <c r="J276" s="1173">
        <f t="shared" si="124"/>
        <v>100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198510</v>
      </c>
      <c r="M277" s="1004">
        <f t="shared" ca="1" si="125"/>
        <v>140100</v>
      </c>
      <c r="N277" s="1004">
        <f t="shared" ca="1" si="125"/>
        <v>95157.08</v>
      </c>
      <c r="O277" s="1004">
        <f t="shared" ref="O277:O285" ca="1" si="126">IF(L277&gt;0,N277*100/L277,0)</f>
        <v>47.935660672006449</v>
      </c>
      <c r="P277" s="1004">
        <f t="shared" ref="P277:P285" ca="1" si="127">IF(M277&gt;0,N277*100/M277,0)</f>
        <v>67.92082798001428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198510</v>
      </c>
      <c r="M279" s="899">
        <f t="shared" ca="1" si="128"/>
        <v>140100</v>
      </c>
      <c r="N279" s="899">
        <f t="shared" ca="1" si="128"/>
        <v>95157.08</v>
      </c>
      <c r="O279" s="899">
        <f t="shared" ca="1" si="126"/>
        <v>47.935660672006449</v>
      </c>
      <c r="P279" s="899">
        <f t="shared" ca="1" si="127"/>
        <v>67.92082798001428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198510</v>
      </c>
      <c r="M280" s="893">
        <f t="shared" ca="1" si="129"/>
        <v>140100</v>
      </c>
      <c r="N280" s="893">
        <f t="shared" ca="1" si="129"/>
        <v>95157.08</v>
      </c>
      <c r="O280" s="893">
        <f t="shared" ca="1" si="126"/>
        <v>47.935660672006449</v>
      </c>
      <c r="P280" s="893">
        <f t="shared" ca="1" si="127"/>
        <v>67.92082798001428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IFERROR(__xludf.DUMMYFUNCTION("IMPORTRANGE(""https://docs.google.com/spreadsheets/d/1MeEWN-I1oV_STSDYn1IFDPWt_1FKiwhDph83XaGc0o0/edit?usp=sharing"",""งบพรบ!DI37"")"),198510)</f>
        <v>198510</v>
      </c>
      <c r="M282" s="899">
        <f ca="1">IFERROR(__xludf.DUMMYFUNCTION("IMPORTRANGE(""https://docs.google.com/spreadsheets/d/1MeEWN-I1oV_STSDYn1IFDPWt_1FKiwhDph83XaGc0o0/edit?usp=sharing"",""งบพรบ!DN37"")"),140100)</f>
        <v>140100</v>
      </c>
      <c r="N282" s="899">
        <f ca="1">IFERROR(__xludf.DUMMYFUNCTION("IMPORTRANGE(""https://docs.google.com/spreadsheets/d/1MeEWN-I1oV_STSDYn1IFDPWt_1FKiwhDph83XaGc0o0/edit?usp=sharing"",""งบพรบ!DP37"")"),95157.08)</f>
        <v>95157.08</v>
      </c>
      <c r="O282" s="899">
        <f t="shared" ca="1" si="126"/>
        <v>47.935660672006449</v>
      </c>
      <c r="P282" s="899">
        <f t="shared" ca="1" si="127"/>
        <v>67.92082798001428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IFERROR(__xludf.DUMMYFUNCTION("IMPORTRANGE(""https://docs.google.com/spreadsheets/d/1MeEWN-I1oV_STSDYn1IFDPWt_1FKiwhDph83XaGc0o0/edit?usp=sharing"",""งบพรบ!DL37"")"),0)</f>
        <v>0</v>
      </c>
      <c r="M285" s="899">
        <f ca="1">IFERROR(__xludf.DUMMYFUNCTION("IMPORTRANGE(""https://docs.google.com/spreadsheets/d/1MeEWN-I1oV_STSDYn1IFDPWt_1FKiwhDph83XaGc0o0/edit?usp=sharing"",""งบพรบ!DO37"")"),0)</f>
        <v>0</v>
      </c>
      <c r="N285" s="899">
        <f ca="1">IFERROR(__xludf.DUMMYFUNCTION("IMPORTRANGE(""https://docs.google.com/spreadsheets/d/1MeEWN-I1oV_STSDYn1IFDPWt_1FKiwhDph83XaGc0o0/edit?usp=sharing"",""งบพรบ!DQ37"")"),0)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IFERROR(__xludf.DUMMYFUNCTION("IMPORTRANGE(""https://docs.google.com/spreadsheets/d/1QqKyyYR6Q21VydFLVH3TRQUabQu_ym0Zz7PgGX0-kHA/edit?usp=sharing"",""แผน!EC37"")"),100)</f>
        <v>100</v>
      </c>
      <c r="J287" s="1024">
        <v>100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IFERROR(__xludf.DUMMYFUNCTION("IMPORTRANGE(""https://docs.google.com/spreadsheets/d/1QqKyyYR6Q21VydFLVH3TRQUabQu_ym0Zz7PgGX0-kHA/edit?usp=sharing"",""แผน!EB37"")"),10)</f>
        <v>10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IFERROR(__xludf.DUMMYFUNCTION("IMPORTRANGE(""https://docs.google.com/spreadsheets/d/1QqKyyYR6Q21VydFLVH3TRQUabQu_ym0Zz7PgGX0-kHA/edit?usp=sharing"",""แผน!EB37"")"),10)</f>
        <v>10</v>
      </c>
      <c r="J290" s="1024">
        <v>10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IFERROR(__xludf.DUMMYFUNCTION("IMPORTRANGE(""https://docs.google.com/spreadsheets/d/1QqKyyYR6Q21VydFLVH3TRQUabQu_ym0Zz7PgGX0-kHA/edit?usp=sharing"",""แผน!EB37"")"),10)</f>
        <v>10</v>
      </c>
      <c r="J291" s="1024">
        <v>10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IFERROR(__xludf.DUMMYFUNCTION("IMPORTRANGE(""https://docs.google.com/spreadsheets/d/1QqKyyYR6Q21VydFLVH3TRQUabQu_ym0Zz7PgGX0-kHA/edit?usp=sharing"",""แผน!EB37"")"),10)</f>
        <v>10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IFERROR(__xludf.DUMMYFUNCTION("IMPORTRANGE(""https://docs.google.com/spreadsheets/d/1QqKyyYR6Q21VydFLVH3TRQUabQu_ym0Zz7PgGX0-kHA/edit?usp=sharing"",""แผน!EB37"")"),10)</f>
        <v>10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IFERROR(__xludf.DUMMYFUNCTION("IMPORTRANGE(""https://docs.google.com/spreadsheets/d/1MeEWN-I1oV_STSDYn1IFDPWt_1FKiwhDph83XaGc0o0/edit?usp=sharing"",""งบพรบ!DS37"")"),0)</f>
        <v>0</v>
      </c>
      <c r="M303" s="899">
        <f ca="1">IFERROR(__xludf.DUMMYFUNCTION("IMPORTRANGE(""https://docs.google.com/spreadsheets/d/1MeEWN-I1oV_STSDYn1IFDPWt_1FKiwhDph83XaGc0o0/edit?usp=sharing"",""งบพรบ!DX37"")"),0)</f>
        <v>0</v>
      </c>
      <c r="N303" s="899">
        <f ca="1">IFERROR(__xludf.DUMMYFUNCTION("IMPORTRANGE(""https://docs.google.com/spreadsheets/d/1MeEWN-I1oV_STSDYn1IFDPWt_1FKiwhDph83XaGc0o0/edit?usp=sharing"",""งบพรบ!DZ37"")"),0)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IFERROR(__xludf.DUMMYFUNCTION("IMPORTRANGE(""https://docs.google.com/spreadsheets/d/1MeEWN-I1oV_STSDYn1IFDPWt_1FKiwhDph83XaGc0o0/edit?usp=sharing"",""งบพรบ!DV37"")"),0)</f>
        <v>0</v>
      </c>
      <c r="M306" s="899">
        <f ca="1">IFERROR(__xludf.DUMMYFUNCTION("IMPORTRANGE(""https://docs.google.com/spreadsheets/d/1MeEWN-I1oV_STSDYn1IFDPWt_1FKiwhDph83XaGc0o0/edit?usp=sharing"",""งบพรบ!DY37"")"),0)</f>
        <v>0</v>
      </c>
      <c r="N306" s="899">
        <f ca="1">IFERROR(__xludf.DUMMYFUNCTION("IMPORTRANGE(""https://docs.google.com/spreadsheets/d/1MeEWN-I1oV_STSDYn1IFDPWt_1FKiwhDph83XaGc0o0/edit?usp=sharing"",""งบพรบ!EA37"")"),0)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IFERROR(__xludf.DUMMYFUNCTION("IMPORTRANGE(""https://docs.google.com/spreadsheets/d/1QqKyyYR6Q21VydFLVH3TRQUabQu_ym0Zz7PgGX0-kHA/edit?usp=sharing"",""แผน!ED37"")"),0)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IFERROR(__xludf.DUMMYFUNCTION("IMPORTRANGE(""https://docs.google.com/spreadsheets/d/1QqKyyYR6Q21VydFLVH3TRQUabQu_ym0Zz7PgGX0-kHA/edit?usp=sharing"",""แผน!ED37"")"),0)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IFERROR(__xludf.DUMMYFUNCTION("IMPORTRANGE(""https://docs.google.com/spreadsheets/d/1QqKyyYR6Q21VydFLVH3TRQUabQu_ym0Zz7PgGX0-kHA/edit?usp=sharing"",""แผน!ED37"")"),0)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IFERROR(__xludf.DUMMYFUNCTION("IMPORTRANGE(""https://docs.google.com/spreadsheets/d/1QqKyyYR6Q21VydFLVH3TRQUabQu_ym0Zz7PgGX0-kHA/edit?usp=sharing"",""แผน!EE37"")"),0)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IFERROR(__xludf.DUMMYFUNCTION("IMPORTRANGE(""https://docs.google.com/spreadsheets/d/1MeEWN-I1oV_STSDYn1IFDPWt_1FKiwhDph83XaGc0o0/edit?usp=sharing"",""งบพรบ!EC37"")"),0)</f>
        <v>0</v>
      </c>
      <c r="M320" s="899">
        <f ca="1">IFERROR(__xludf.DUMMYFUNCTION("IMPORTRANGE(""https://docs.google.com/spreadsheets/d/1MeEWN-I1oV_STSDYn1IFDPWt_1FKiwhDph83XaGc0o0/edit?usp=sharing"",""งบพรบ!EH37"")"),0)</f>
        <v>0</v>
      </c>
      <c r="N320" s="899">
        <f ca="1">IFERROR(__xludf.DUMMYFUNCTION("IMPORTRANGE(""https://docs.google.com/spreadsheets/d/1MeEWN-I1oV_STSDYn1IFDPWt_1FKiwhDph83XaGc0o0/edit?usp=sharing"",""งบพรบ!EJ37"")"),0)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IFERROR(__xludf.DUMMYFUNCTION("IMPORTRANGE(""https://docs.google.com/spreadsheets/d/1MeEWN-I1oV_STSDYn1IFDPWt_1FKiwhDph83XaGc0o0/edit?usp=sharing"",""งบพรบ!EF37"")"),0)</f>
        <v>0</v>
      </c>
      <c r="M323" s="899">
        <f ca="1">IFERROR(__xludf.DUMMYFUNCTION("IMPORTRANGE(""https://docs.google.com/spreadsheets/d/1MeEWN-I1oV_STSDYn1IFDPWt_1FKiwhDph83XaGc0o0/edit?usp=sharing"",""งบพรบ!EI37"")"),0)</f>
        <v>0</v>
      </c>
      <c r="N323" s="899">
        <f ca="1">IFERROR(__xludf.DUMMYFUNCTION("IMPORTRANGE(""https://docs.google.com/spreadsheets/d/1MeEWN-I1oV_STSDYn1IFDPWt_1FKiwhDph83XaGc0o0/edit?usp=sharing"",""งบพรบ!EK37"")"),0)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IFERROR(__xludf.DUMMYFUNCTION("IMPORTRANGE(""https://docs.google.com/spreadsheets/d/1QqKyyYR6Q21VydFLVH3TRQUabQu_ym0Zz7PgGX0-kHA/edit?usp=sharing"",""แผน!EF37"")"),0)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IFERROR(__xludf.DUMMYFUNCTION("IMPORTRANGE(""https://docs.google.com/spreadsheets/d/1QqKyyYR6Q21VydFLVH3TRQUabQu_ym0Zz7PgGX0-kHA/edit?usp=sharing"",""แผน!EG37"")"),3600)</f>
        <v>3600</v>
      </c>
      <c r="J327" s="1202">
        <f ca="1">J338+J341+J342+J343</f>
        <v>1906</v>
      </c>
      <c r="K327" s="1203">
        <f ca="1">IF(I327&gt;0,J327*100/I327,0)</f>
        <v>52.944444444444443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179000</v>
      </c>
      <c r="M328" s="1004">
        <f t="shared" ca="1" si="149"/>
        <v>136750</v>
      </c>
      <c r="N328" s="1004">
        <f t="shared" ca="1" si="149"/>
        <v>72346</v>
      </c>
      <c r="O328" s="1004">
        <f t="shared" ref="O328:O336" ca="1" si="150">IF(L328&gt;0,N328*100/L328,0)</f>
        <v>40.41675977653631</v>
      </c>
      <c r="P328" s="1004">
        <f t="shared" ref="P328:P336" ca="1" si="151">IF(M328&gt;0,N328*100/M328,0)</f>
        <v>52.903839122486289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179000</v>
      </c>
      <c r="M330" s="899">
        <f t="shared" ca="1" si="152"/>
        <v>136750</v>
      </c>
      <c r="N330" s="899">
        <f t="shared" ca="1" si="152"/>
        <v>72346</v>
      </c>
      <c r="O330" s="899">
        <f t="shared" ca="1" si="150"/>
        <v>40.41675977653631</v>
      </c>
      <c r="P330" s="899">
        <f t="shared" ca="1" si="151"/>
        <v>52.903839122486289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179000</v>
      </c>
      <c r="M331" s="893">
        <f t="shared" ca="1" si="153"/>
        <v>136750</v>
      </c>
      <c r="N331" s="893">
        <f t="shared" ca="1" si="153"/>
        <v>72346</v>
      </c>
      <c r="O331" s="893">
        <f t="shared" ca="1" si="150"/>
        <v>40.41675977653631</v>
      </c>
      <c r="P331" s="893">
        <f t="shared" ca="1" si="151"/>
        <v>52.903839122486289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IFERROR(__xludf.DUMMYFUNCTION("IMPORTRANGE(""https://docs.google.com/spreadsheets/d/1MeEWN-I1oV_STSDYn1IFDPWt_1FKiwhDph83XaGc0o0/edit?usp=sharing"",""งบพรบ!EM37"")"),179000)</f>
        <v>179000</v>
      </c>
      <c r="M333" s="899">
        <f ca="1">IFERROR(__xludf.DUMMYFUNCTION("IMPORTRANGE(""https://docs.google.com/spreadsheets/d/1MeEWN-I1oV_STSDYn1IFDPWt_1FKiwhDph83XaGc0o0/edit?usp=sharing"",""งบพรบ!ER37"")"),136750)</f>
        <v>136750</v>
      </c>
      <c r="N333" s="899">
        <f ca="1">IFERROR(__xludf.DUMMYFUNCTION("IMPORTRANGE(""https://docs.google.com/spreadsheets/d/1MeEWN-I1oV_STSDYn1IFDPWt_1FKiwhDph83XaGc0o0/edit?usp=sharing"",""งบพรบ!ET37"")"),72346)</f>
        <v>72346</v>
      </c>
      <c r="O333" s="899">
        <f t="shared" ca="1" si="150"/>
        <v>40.41675977653631</v>
      </c>
      <c r="P333" s="899">
        <f t="shared" ca="1" si="151"/>
        <v>52.903839122486289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IFERROR(__xludf.DUMMYFUNCTION("IMPORTRANGE(""https://docs.google.com/spreadsheets/d/1MeEWN-I1oV_STSDYn1IFDPWt_1FKiwhDph83XaGc0o0/edit?usp=sharing"",""งบพรบ!EP37"")"),0)</f>
        <v>0</v>
      </c>
      <c r="M336" s="899">
        <f ca="1">IFERROR(__xludf.DUMMYFUNCTION("IMPORTRANGE(""https://docs.google.com/spreadsheets/d/1MeEWN-I1oV_STSDYn1IFDPWt_1FKiwhDph83XaGc0o0/edit?usp=sharing"",""งบพรบ!ES37"")"),0)</f>
        <v>0</v>
      </c>
      <c r="N336" s="899">
        <f ca="1">IFERROR(__xludf.DUMMYFUNCTION("IMPORTRANGE(""https://docs.google.com/spreadsheets/d/1MeEWN-I1oV_STSDYn1IFDPWt_1FKiwhDph83XaGc0o0/edit?usp=sharing"",""งบพรบ!EU37"")"),0)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IFERROR(__xludf.DUMMYFUNCTION("IMPORTRANGE(""https://docs.google.com/spreadsheets/d/1QqKyyYR6Q21VydFLVH3TRQUabQu_ym0Zz7PgGX0-kHA/edit?usp=sharing"",""แผน!EG37"")"),3600)</f>
        <v>3600</v>
      </c>
      <c r="J338" s="892">
        <f ca="1">IFERROR(__xludf.DUMMYFUNCTION("IMPORTRANGE(""https://docs.google.com/spreadsheets/d/1kVcqe37tkHyjCSG3S0O1AXqVkqjo8mSIZil3BcpIysc/edit?usp=sharing"",""ศูนย์!D37"")"),1793)</f>
        <v>1793</v>
      </c>
      <c r="K338" s="893">
        <f ca="1">IF(I338&gt;0,J338*100/I338,0)</f>
        <v>49.805555555555557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IFERROR(__xludf.DUMMYFUNCTION("IMPORTRANGE(""https://docs.google.com/spreadsheets/d/1QqKyyYR6Q21VydFLVH3TRQUabQu_ym0Zz7PgGX0-kHA/edit?usp=sharing"",""แผน!EH37"")"),8)</f>
        <v>8</v>
      </c>
      <c r="J340" s="892">
        <f ca="1">IFERROR(__xludf.DUMMYFUNCTION("IMPORTRANGE(""https://docs.google.com/spreadsheets/d/1kVcqe37tkHyjCSG3S0O1AXqVkqjo8mSIZil3BcpIysc/edit?usp=sharing"",""ศูนย์!E37"")"),2)</f>
        <v>2</v>
      </c>
      <c r="K340" s="893">
        <f ca="1">IF(I340&gt;0,J340*100/I340,0)</f>
        <v>25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IFERROR(__xludf.DUMMYFUNCTION("IMPORTRANGE(""https://docs.google.com/spreadsheets/d/1kVcqe37tkHyjCSG3S0O1AXqVkqjo8mSIZil3BcpIysc/edit?usp=sharing"",""ศูนย์!F37"")"),113)</f>
        <v>113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IFERROR(__xludf.DUMMYFUNCTION("IMPORTRANGE(""https://docs.google.com/spreadsheets/d/1kVcqe37tkHyjCSG3S0O1AXqVkqjo8mSIZil3BcpIysc/edit?usp=sharing"",""ศูนย์!G37"")"),0)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IFERROR(__xludf.DUMMYFUNCTION("IMPORTRANGE(""https://docs.google.com/spreadsheets/d/1kVcqe37tkHyjCSG3S0O1AXqVkqjo8mSIZil3BcpIysc/edit?usp=sharing"",""ศูนย์!H37"")"),0)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1464800</v>
      </c>
      <c r="M345" s="1004">
        <f t="shared" ca="1" si="155"/>
        <v>1115444</v>
      </c>
      <c r="N345" s="1004">
        <f t="shared" ca="1" si="155"/>
        <v>768668.5</v>
      </c>
      <c r="O345" s="1004">
        <f t="shared" ref="O345:O353" ca="1" si="156">IF(L345&gt;0,N345*100/L345,0)</f>
        <v>52.476003549972695</v>
      </c>
      <c r="P345" s="1004">
        <f t="shared" ref="P345:P353" ca="1" si="157">IF(M345&gt;0,N345*100/M345,0)</f>
        <v>68.91143795654466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1464800</v>
      </c>
      <c r="M347" s="899">
        <f t="shared" ca="1" si="158"/>
        <v>1115444</v>
      </c>
      <c r="N347" s="899">
        <f t="shared" ca="1" si="158"/>
        <v>768668.5</v>
      </c>
      <c r="O347" s="899">
        <f t="shared" ca="1" si="156"/>
        <v>52.476003549972695</v>
      </c>
      <c r="P347" s="899">
        <f t="shared" ca="1" si="157"/>
        <v>68.91143795654466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1329200</v>
      </c>
      <c r="M348" s="893">
        <f t="shared" ca="1" si="159"/>
        <v>979844</v>
      </c>
      <c r="N348" s="893">
        <f t="shared" ca="1" si="159"/>
        <v>633068.5</v>
      </c>
      <c r="O348" s="893">
        <f t="shared" ca="1" si="156"/>
        <v>47.627783629250679</v>
      </c>
      <c r="P348" s="893">
        <f t="shared" ca="1" si="157"/>
        <v>64.609111246280023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IFERROR(__xludf.DUMMYFUNCTION("IMPORTRANGE(""https://docs.google.com/spreadsheets/d/1MeEWN-I1oV_STSDYn1IFDPWt_1FKiwhDph83XaGc0o0/edit?usp=sharing"",""งบพรบ!EW37"")"),1329200)</f>
        <v>1329200</v>
      </c>
      <c r="M350" s="899">
        <f ca="1">IFERROR(__xludf.DUMMYFUNCTION("IMPORTRANGE(""https://docs.google.com/spreadsheets/d/1MeEWN-I1oV_STSDYn1IFDPWt_1FKiwhDph83XaGc0o0/edit?usp=sharing"",""งบพรบ!FB37"")"),979844)</f>
        <v>979844</v>
      </c>
      <c r="N350" s="899">
        <f ca="1">IFERROR(__xludf.DUMMYFUNCTION("IMPORTRANGE(""https://docs.google.com/spreadsheets/d/1MeEWN-I1oV_STSDYn1IFDPWt_1FKiwhDph83XaGc0o0/edit?usp=sharing"",""งบพรบ!FD37"")"),633068.5)</f>
        <v>633068.5</v>
      </c>
      <c r="O350" s="899">
        <f t="shared" ca="1" si="156"/>
        <v>47.627783629250679</v>
      </c>
      <c r="P350" s="899">
        <f t="shared" ca="1" si="157"/>
        <v>64.609111246280023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135600</v>
      </c>
      <c r="M351" s="893">
        <f t="shared" ca="1" si="160"/>
        <v>135600</v>
      </c>
      <c r="N351" s="893">
        <f t="shared" ca="1" si="160"/>
        <v>135600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IFERROR(__xludf.DUMMYFUNCTION("IMPORTRANGE(""https://docs.google.com/spreadsheets/d/1MeEWN-I1oV_STSDYn1IFDPWt_1FKiwhDph83XaGc0o0/edit?usp=sharing"",""งบพรบ!EZ37"")"),135600)</f>
        <v>135600</v>
      </c>
      <c r="M353" s="899">
        <f ca="1">IFERROR(__xludf.DUMMYFUNCTION("IMPORTRANGE(""https://docs.google.com/spreadsheets/d/1MeEWN-I1oV_STSDYn1IFDPWt_1FKiwhDph83XaGc0o0/edit?usp=sharing"",""งบพรบ!FC37"")"),135600)</f>
        <v>135600</v>
      </c>
      <c r="N353" s="899">
        <f ca="1">IFERROR(__xludf.DUMMYFUNCTION("IMPORTRANGE(""https://docs.google.com/spreadsheets/d/1MeEWN-I1oV_STSDYn1IFDPWt_1FKiwhDph83XaGc0o0/edit?usp=sharing"",""งบพรบ!FE37"")"),135600)</f>
        <v>135600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IFERROR(__xludf.DUMMYFUNCTION("IMPORTRANGE(""https://docs.google.com/spreadsheets/d/1QqKyyYR6Q21VydFLVH3TRQUabQu_ym0Zz7PgGX0-kHA/edit?usp=sharing"",""แผน!EP37"")"),620)</f>
        <v>620</v>
      </c>
      <c r="J355" s="1218">
        <f ca="1">J362</f>
        <v>48</v>
      </c>
      <c r="K355" s="1219">
        <f ca="1">IF(I355&gt;0,J355*100/I355,0)</f>
        <v>7.741935483870968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IFERROR(__xludf.DUMMYFUNCTION("IMPORTRANGE(""https://docs.google.com/spreadsheets/d/1XWAQStnk-4SwqDmLtmXYiTMKHgktTP8We1SCoS47DrQ/edit?usp=sharing"",""จัดที่ดิน!W37"")"),281)</f>
        <v>281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IFERROR(__xludf.DUMMYFUNCTION("IMPORTRANGE(""https://docs.google.com/spreadsheets/d/1QqKyyYR6Q21VydFLVH3TRQUabQu_ym0Zz7PgGX0-kHA/edit?usp=sharing"",""แผน!EO37"")"),6300)</f>
        <v>6300</v>
      </c>
      <c r="J359" s="892">
        <f ca="1">IFERROR(__xludf.DUMMYFUNCTION("IMPORTRANGE(""https://docs.google.com/spreadsheets/d/1XWAQStnk-4SwqDmLtmXYiTMKHgktTP8We1SCoS47DrQ/edit?usp=sharing"",""จัดที่ดิน!X37"")"),3284.18)</f>
        <v>3284.18</v>
      </c>
      <c r="K359" s="893">
        <f t="shared" ca="1" si="161"/>
        <v>52.129841269841272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IFERROR(__xludf.DUMMYFUNCTION("IMPORTRANGE(""https://docs.google.com/spreadsheets/d/1QqKyyYR6Q21VydFLVH3TRQUabQu_ym0Zz7PgGX0-kHA/edit?usp=sharing"",""แผน!EP37"")"),620)</f>
        <v>620</v>
      </c>
      <c r="J360" s="892">
        <f ca="1">IFERROR(__xludf.DUMMYFUNCTION("IMPORTRANGE(""https://docs.google.com/spreadsheets/d/1XWAQStnk-4SwqDmLtmXYiTMKHgktTP8We1SCoS47DrQ/edit?usp=sharing"",""จัดที่ดิน!Y37"")"),36)</f>
        <v>36</v>
      </c>
      <c r="K360" s="893">
        <f t="shared" ca="1" si="161"/>
        <v>5.806451612903226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IFERROR(__xludf.DUMMYFUNCTION("IMPORTRANGE(""https://docs.google.com/spreadsheets/d/1XWAQStnk-4SwqDmLtmXYiTMKHgktTP8We1SCoS47DrQ/edit?usp=sharing"",""จัดที่ดิน!Z37"")"),383.8)</f>
        <v>383.8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IFERROR(__xludf.DUMMYFUNCTION("IMPORTRANGE(""https://docs.google.com/spreadsheets/d/1QqKyyYR6Q21VydFLVH3TRQUabQu_ym0Zz7PgGX0-kHA/edit?usp=sharing"",""แผน!EP37"")"),620)</f>
        <v>620</v>
      </c>
      <c r="J362" s="892">
        <f ca="1">IFERROR(__xludf.DUMMYFUNCTION("IMPORTRANGE(""https://docs.google.com/spreadsheets/d/1XWAQStnk-4SwqDmLtmXYiTMKHgktTP8We1SCoS47DrQ/edit?usp=sharing"",""จัดที่ดิน!AA37"")"),48)</f>
        <v>48</v>
      </c>
      <c r="K362" s="893">
        <f t="shared" ca="1" si="161"/>
        <v>7.741935483870968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IFERROR(__xludf.DUMMYFUNCTION("IMPORTRANGE(""https://docs.google.com/spreadsheets/d/1XWAQStnk-4SwqDmLtmXYiTMKHgktTP8We1SCoS47DrQ/edit?usp=sharing"",""จัดที่ดิน!AB37"")"),533.74)</f>
        <v>533.74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1520</v>
      </c>
      <c r="J364" s="1231">
        <f t="shared" ca="1" si="162"/>
        <v>353</v>
      </c>
      <c r="K364" s="1232">
        <f t="shared" ca="1" si="161"/>
        <v>23.223684210526315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IFERROR(__xludf.DUMMYFUNCTION("IMPORTRANGE(""https://docs.google.com/spreadsheets/d/1QqKyyYR6Q21VydFLVH3TRQUabQu_ym0Zz7PgGX0-kHA/edit?usp=sharing"",""แผน!EJ37"")"),20)</f>
        <v>20</v>
      </c>
      <c r="J365" s="1239">
        <f ca="1">J372</f>
        <v>11</v>
      </c>
      <c r="K365" s="1240">
        <f t="shared" ca="1" si="161"/>
        <v>55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IFERROR(__xludf.DUMMYFUNCTION("IMPORTRANGE(""https://docs.google.com/spreadsheets/d/1XWAQStnk-4SwqDmLtmXYiTMKHgktTP8We1SCoS47DrQ/edit?usp=sharing"",""จัดที่ดิน!E37"")"),27)</f>
        <v>27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IFERROR(__xludf.DUMMYFUNCTION("IMPORTRANGE(""https://docs.google.com/spreadsheets/d/1QqKyyYR6Q21VydFLVH3TRQUabQu_ym0Zz7PgGX0-kHA/edit?usp=sharing"",""แผน!EI37"")"),300)</f>
        <v>300</v>
      </c>
      <c r="J369" s="892">
        <f ca="1">IFERROR(__xludf.DUMMYFUNCTION("IMPORTRANGE(""https://docs.google.com/spreadsheets/d/1XWAQStnk-4SwqDmLtmXYiTMKHgktTP8We1SCoS47DrQ/edit?usp=sharing"",""จัดที่ดิน!F37"")"),322.69)</f>
        <v>322.69</v>
      </c>
      <c r="K369" s="893">
        <f t="shared" ca="1" si="163"/>
        <v>107.56333333333333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IFERROR(__xludf.DUMMYFUNCTION("IMPORTRANGE(""https://docs.google.com/spreadsheets/d/1QqKyyYR6Q21VydFLVH3TRQUabQu_ym0Zz7PgGX0-kHA/edit?usp=sharing"",""แผน!EJ37"")"),20)</f>
        <v>20</v>
      </c>
      <c r="J370" s="892">
        <f ca="1">IFERROR(__xludf.DUMMYFUNCTION("IMPORTRANGE(""https://docs.google.com/spreadsheets/d/1XWAQStnk-4SwqDmLtmXYiTMKHgktTP8We1SCoS47DrQ/edit?usp=sharing"",""จัดที่ดิน!G37"")"),11)</f>
        <v>11</v>
      </c>
      <c r="K370" s="893">
        <f t="shared" ca="1" si="163"/>
        <v>55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IFERROR(__xludf.DUMMYFUNCTION("IMPORTRANGE(""https://docs.google.com/spreadsheets/d/1XWAQStnk-4SwqDmLtmXYiTMKHgktTP8We1SCoS47DrQ/edit?usp=sharing"",""จัดที่ดิน!H37"")"),131.71)</f>
        <v>131.71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IFERROR(__xludf.DUMMYFUNCTION("IMPORTRANGE(""https://docs.google.com/spreadsheets/d/1QqKyyYR6Q21VydFLVH3TRQUabQu_ym0Zz7PgGX0-kHA/edit?usp=sharing"",""แผน!EJ37"")"),20)</f>
        <v>20</v>
      </c>
      <c r="J372" s="892">
        <f ca="1">IFERROR(__xludf.DUMMYFUNCTION("IMPORTRANGE(""https://docs.google.com/spreadsheets/d/1XWAQStnk-4SwqDmLtmXYiTMKHgktTP8We1SCoS47DrQ/edit?usp=sharing"",""จัดที่ดิน!I37"")"),11)</f>
        <v>11</v>
      </c>
      <c r="K372" s="893">
        <f t="shared" ca="1" si="163"/>
        <v>55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IFERROR(__xludf.DUMMYFUNCTION("IMPORTRANGE(""https://docs.google.com/spreadsheets/d/1XWAQStnk-4SwqDmLtmXYiTMKHgktTP8We1SCoS47DrQ/edit?usp=sharing"",""จัดที่ดิน!J37"")"),131.71)</f>
        <v>131.71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IFERROR(__xludf.DUMMYFUNCTION("IMPORTRANGE(""https://docs.google.com/spreadsheets/d/1QqKyyYR6Q21VydFLVH3TRQUabQu_ym0Zz7PgGX0-kHA/edit?usp=sharing"",""แผน!EU37"")"),1500)</f>
        <v>1500</v>
      </c>
      <c r="J374" s="1239">
        <f ca="1">J381</f>
        <v>342</v>
      </c>
      <c r="K374" s="1240">
        <f t="shared" ca="1" si="163"/>
        <v>22.8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IFERROR(__xludf.DUMMYFUNCTION("IMPORTRANGE(""https://docs.google.com/spreadsheets/d/1XWAQStnk-4SwqDmLtmXYiTMKHgktTP8We1SCoS47DrQ/edit?usp=sharing"",""จัดที่ดิน!AH37"")"),254)</f>
        <v>254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IFERROR(__xludf.DUMMYFUNCTION("IMPORTRANGE(""https://docs.google.com/spreadsheets/d/1QqKyyYR6Q21VydFLVH3TRQUabQu_ym0Zz7PgGX0-kHA/edit?usp=sharing"",""แผน!ET37"")"),6000)</f>
        <v>6000</v>
      </c>
      <c r="J378" s="892">
        <f ca="1">IFERROR(__xludf.DUMMYFUNCTION("IMPORTRANGE(""https://docs.google.com/spreadsheets/d/1XWAQStnk-4SwqDmLtmXYiTMKHgktTP8We1SCoS47DrQ/edit?usp=sharing"",""จัดที่ดิน!AI37"")"),2961.49)</f>
        <v>2961.49</v>
      </c>
      <c r="K378" s="893">
        <f t="shared" ca="1" si="164"/>
        <v>49.358166666666669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IFERROR(__xludf.DUMMYFUNCTION("IMPORTRANGE(""https://docs.google.com/spreadsheets/d/1QqKyyYR6Q21VydFLVH3TRQUabQu_ym0Zz7PgGX0-kHA/edit?usp=sharing"",""แผน!EU37"")"),1500)</f>
        <v>1500</v>
      </c>
      <c r="J379" s="892">
        <f ca="1">IFERROR(__xludf.DUMMYFUNCTION("IMPORTRANGE(""https://docs.google.com/spreadsheets/d/1XWAQStnk-4SwqDmLtmXYiTMKHgktTP8We1SCoS47DrQ/edit?usp=sharing"",""จัดที่ดิน!AJ37"")"),443)</f>
        <v>443</v>
      </c>
      <c r="K379" s="893">
        <f t="shared" ca="1" si="164"/>
        <v>29.533333333333335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IFERROR(__xludf.DUMMYFUNCTION("IMPORTRANGE(""https://docs.google.com/spreadsheets/d/1XWAQStnk-4SwqDmLtmXYiTMKHgktTP8We1SCoS47DrQ/edit?usp=sharing"",""จัดที่ดิน!AK37"")"),7193.16)</f>
        <v>7193.16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IFERROR(__xludf.DUMMYFUNCTION("IMPORTRANGE(""https://docs.google.com/spreadsheets/d/1QqKyyYR6Q21VydFLVH3TRQUabQu_ym0Zz7PgGX0-kHA/edit?usp=sharing"",""แผน!EU37"")"),1500)</f>
        <v>1500</v>
      </c>
      <c r="J381" s="892">
        <f ca="1">IFERROR(__xludf.DUMMYFUNCTION("IMPORTRANGE(""https://docs.google.com/spreadsheets/d/1XWAQStnk-4SwqDmLtmXYiTMKHgktTP8We1SCoS47DrQ/edit?usp=sharing"",""จัดที่ดิน!AL37"")"),342)</f>
        <v>342</v>
      </c>
      <c r="K381" s="893">
        <f t="shared" ca="1" si="164"/>
        <v>22.8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IFERROR(__xludf.DUMMYFUNCTION("IMPORTRANGE(""https://docs.google.com/spreadsheets/d/1XWAQStnk-4SwqDmLtmXYiTMKHgktTP8We1SCoS47DrQ/edit?usp=sharing"",""จัดที่ดิน!AM37"")"),5373.05)</f>
        <v>5373.05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IFERROR(__xludf.DUMMYFUNCTION("IMPORTRANGE(""https://docs.google.com/spreadsheets/d/1QqKyyYR6Q21VydFLVH3TRQUabQu_ym0Zz7PgGX0-kHA/edit?usp=sharing"",""แผน!EW37"")"),186)</f>
        <v>186</v>
      </c>
      <c r="J385" s="1149">
        <f ca="1">IFERROR(__xludf.DUMMYFUNCTION("IMPORTRANGE(""https://docs.google.com/spreadsheets/d/1XWAQStnk-4SwqDmLtmXYiTMKHgktTP8We1SCoS47DrQ/edit?usp=sharing"",""จัดที่ดิน!AP37"")"),0)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IFERROR(__xludf.DUMMYFUNCTION("IMPORTRANGE(""https://docs.google.com/spreadsheets/d/1MeEWN-I1oV_STSDYn1IFDPWt_1FKiwhDph83XaGc0o0/edit?usp=sharing"",""งบพรบ!FG37"")"),0)</f>
        <v>0</v>
      </c>
      <c r="M394" s="899">
        <f ca="1">IFERROR(__xludf.DUMMYFUNCTION("IMPORTRANGE(""https://docs.google.com/spreadsheets/d/1MeEWN-I1oV_STSDYn1IFDPWt_1FKiwhDph83XaGc0o0/edit?usp=sharing"",""งบพรบ!FL37"")"),0)</f>
        <v>0</v>
      </c>
      <c r="N394" s="899">
        <f ca="1">IFERROR(__xludf.DUMMYFUNCTION("IMPORTRANGE(""https://docs.google.com/spreadsheets/d/1MeEWN-I1oV_STSDYn1IFDPWt_1FKiwhDph83XaGc0o0/edit?usp=sharing"",""งบพรบ!FN37"")"),0)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IFERROR(__xludf.DUMMYFUNCTION("IMPORTRANGE(""https://docs.google.com/spreadsheets/d/1MeEWN-I1oV_STSDYn1IFDPWt_1FKiwhDph83XaGc0o0/edit?usp=sharing"",""งบพรบ!FJ37"")"),0)</f>
        <v>0</v>
      </c>
      <c r="M397" s="899">
        <f ca="1">IFERROR(__xludf.DUMMYFUNCTION("IMPORTRANGE(""https://docs.google.com/spreadsheets/d/1MeEWN-I1oV_STSDYn1IFDPWt_1FKiwhDph83XaGc0o0/edit?usp=sharing"",""งบพรบ!FM37"")"),0)</f>
        <v>0</v>
      </c>
      <c r="N397" s="899">
        <f ca="1">IFERROR(__xludf.DUMMYFUNCTION("IMPORTRANGE(""https://docs.google.com/spreadsheets/d/1MeEWN-I1oV_STSDYn1IFDPWt_1FKiwhDph83XaGc0o0/edit?usp=sharing"",""งบพรบ!FO37"")"),0)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IFERROR(__xludf.DUMMYFUNCTION("IMPORTRANGE(""https://docs.google.com/spreadsheets/d/1MeEWN-I1oV_STSDYn1IFDPWt_1FKiwhDph83XaGc0o0/edit?usp=sharing"",""งบพรบ!FQ37"")"),0)</f>
        <v>0</v>
      </c>
      <c r="M407" s="899">
        <f ca="1">IFERROR(__xludf.DUMMYFUNCTION("IMPORTRANGE(""https://docs.google.com/spreadsheets/d/1MeEWN-I1oV_STSDYn1IFDPWt_1FKiwhDph83XaGc0o0/edit?usp=sharing"",""งบพรบ!FV37"")"),0)</f>
        <v>0</v>
      </c>
      <c r="N407" s="899">
        <f ca="1">IFERROR(__xludf.DUMMYFUNCTION("IMPORTRANGE(""https://docs.google.com/spreadsheets/d/1MeEWN-I1oV_STSDYn1IFDPWt_1FKiwhDph83XaGc0o0/edit?usp=sharing"",""งบพรบ!FX37"")"),0)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IFERROR(__xludf.DUMMYFUNCTION("IMPORTRANGE(""https://docs.google.com/spreadsheets/d/1MeEWN-I1oV_STSDYn1IFDPWt_1FKiwhDph83XaGc0o0/edit?usp=sharing"",""งบพรบ!FT37"")"),0)</f>
        <v>0</v>
      </c>
      <c r="M410" s="899">
        <f ca="1">IFERROR(__xludf.DUMMYFUNCTION("IMPORTRANGE(""https://docs.google.com/spreadsheets/d/1MeEWN-I1oV_STSDYn1IFDPWt_1FKiwhDph83XaGc0o0/edit?usp=sharing"",""งบพรบ!FW37"")"),0)</f>
        <v>0</v>
      </c>
      <c r="N410" s="899">
        <f ca="1">IFERROR(__xludf.DUMMYFUNCTION("IMPORTRANGE(""https://docs.google.com/spreadsheets/d/1MeEWN-I1oV_STSDYn1IFDPWt_1FKiwhDph83XaGc0o0/edit?usp=sharing"",""งบพรบ!FY37"")"),0)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2803355</v>
      </c>
      <c r="M414" s="1293">
        <f t="shared" ca="1" si="181"/>
        <v>2803355</v>
      </c>
      <c r="N414" s="1293">
        <f t="shared" si="181"/>
        <v>732975</v>
      </c>
      <c r="O414" s="1293">
        <f ca="1">IF(L414&gt;0,N414*100/L414,0)</f>
        <v>26.146349641768523</v>
      </c>
      <c r="P414" s="1293">
        <f ca="1">IF(M414&gt;0,N414*100/M414,0)</f>
        <v>26.146349641768523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15</v>
      </c>
      <c r="J417" s="1306">
        <f t="shared" ca="1" si="182"/>
        <v>15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66760</v>
      </c>
      <c r="M419" s="1004">
        <f t="shared" ca="1" si="184"/>
        <v>66760</v>
      </c>
      <c r="N419" s="1004">
        <f t="shared" si="184"/>
        <v>55990</v>
      </c>
      <c r="O419" s="1004">
        <f t="shared" ref="O419:O424" ca="1" si="185">IF(L419&gt;0,N419*100/L419,0)</f>
        <v>83.867585380467347</v>
      </c>
      <c r="P419" s="1004">
        <f t="shared" ref="P419:P424" ca="1" si="186">IF(M419&gt;0,N419*100/M419,0)</f>
        <v>83.867585380467347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66760</v>
      </c>
      <c r="M421" s="899">
        <f t="shared" ca="1" si="187"/>
        <v>66760</v>
      </c>
      <c r="N421" s="899">
        <f t="shared" si="187"/>
        <v>55990</v>
      </c>
      <c r="O421" s="899">
        <f t="shared" ca="1" si="185"/>
        <v>83.867585380467347</v>
      </c>
      <c r="P421" s="899">
        <f t="shared" ca="1" si="186"/>
        <v>83.867585380467347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66760</v>
      </c>
      <c r="M422" s="893">
        <f t="shared" ca="1" si="188"/>
        <v>66760</v>
      </c>
      <c r="N422" s="893">
        <f t="shared" si="188"/>
        <v>55990</v>
      </c>
      <c r="O422" s="893">
        <f t="shared" ca="1" si="185"/>
        <v>83.867585380467347</v>
      </c>
      <c r="P422" s="893">
        <f t="shared" ca="1" si="186"/>
        <v>83.867585380467347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IFERROR(__xludf.DUMMYFUNCTION("IMPORTRANGE(""https://docs.google.com/spreadsheets/d/1QqKyyYR6Q21VydFLVH3TRQUabQu_ym0Zz7PgGX0-kHA/edit?usp=sharing"",""แผน!EY37"")"),66760)</f>
        <v>66760</v>
      </c>
      <c r="M424" s="899">
        <f ca="1">L424</f>
        <v>66760</v>
      </c>
      <c r="N424" s="899">
        <f>N425+N426+N427+N428</f>
        <v>55990</v>
      </c>
      <c r="O424" s="899">
        <f t="shared" ca="1" si="185"/>
        <v>83.867585380467347</v>
      </c>
      <c r="P424" s="899">
        <f t="shared" ca="1" si="186"/>
        <v>83.867585380467347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47530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8460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IFERROR(__xludf.DUMMYFUNCTION("IMPORTRANGE(""https://docs.google.com/spreadsheets/d/1QqKyyYR6Q21VydFLVH3TRQUabQu_ym0Zz7PgGX0-kHA/edit?usp=sharing"",""แผน!FB37"")"),0)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15</v>
      </c>
      <c r="J433" s="1031">
        <f ca="1">IF(AND(J435=I435,J437=I437,J439=I439),I437+I439,IF(AND(J435=I437,J437=I437),I437,IF(AND(J435=I439,J439=I439),I439,0)))</f>
        <v>15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IFERROR(__xludf.DUMMYFUNCTION("IMPORTRANGE(""https://docs.google.com/spreadsheets/d/1QqKyyYR6Q21VydFLVH3TRQUabQu_ym0Zz7PgGX0-kHA/edit?usp=sharing"",""แผน!FE37"")"),0)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IFERROR(__xludf.DUMMYFUNCTION("IMPORTRANGE(""https://docs.google.com/spreadsheets/d/1QqKyyYR6Q21VydFLVH3TRQUabQu_ym0Zz7PgGX0-kHA/edit?usp=sharing"",""แผน!FG37"")"),1)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IFERROR(__xludf.DUMMYFUNCTION("IMPORTRANGE(""https://docs.google.com/spreadsheets/d/1QqKyyYR6Q21VydFLVH3TRQUabQu_ym0Zz7PgGX0-kHA/edit?usp=sharing"",""แผน!FH37"")"),0)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100</v>
      </c>
      <c r="J442" s="1322">
        <f t="shared" si="195"/>
        <v>100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150</v>
      </c>
      <c r="J443" s="1306">
        <f t="shared" si="196"/>
        <v>150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503280</v>
      </c>
      <c r="M444" s="1032">
        <f t="shared" ca="1" si="197"/>
        <v>503280</v>
      </c>
      <c r="N444" s="1032">
        <f t="shared" si="197"/>
        <v>157156</v>
      </c>
      <c r="O444" s="1032">
        <f t="shared" ref="O444:O449" ca="1" si="198">IF(L444&gt;0,N444*100/L444,0)</f>
        <v>31.226355110475282</v>
      </c>
      <c r="P444" s="1032">
        <f t="shared" ref="P444:P449" ca="1" si="199">IF(M444&gt;0,N444*100/M444,0)</f>
        <v>31.226355110475282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503280</v>
      </c>
      <c r="M446" s="899">
        <f t="shared" ca="1" si="200"/>
        <v>503280</v>
      </c>
      <c r="N446" s="899">
        <f t="shared" si="200"/>
        <v>157156</v>
      </c>
      <c r="O446" s="899">
        <f t="shared" ca="1" si="198"/>
        <v>31.226355110475282</v>
      </c>
      <c r="P446" s="899">
        <f t="shared" ca="1" si="199"/>
        <v>31.226355110475282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503280</v>
      </c>
      <c r="M447" s="893">
        <f t="shared" ca="1" si="201"/>
        <v>503280</v>
      </c>
      <c r="N447" s="893">
        <f t="shared" si="201"/>
        <v>157156</v>
      </c>
      <c r="O447" s="893">
        <f t="shared" ca="1" si="198"/>
        <v>31.226355110475282</v>
      </c>
      <c r="P447" s="893">
        <f t="shared" ca="1" si="199"/>
        <v>31.226355110475282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IFERROR(__xludf.DUMMYFUNCTION("IMPORTRANGE(""https://docs.google.com/spreadsheets/d/1QqKyyYR6Q21VydFLVH3TRQUabQu_ym0Zz7PgGX0-kHA/edit?usp=sharing"",""แผน!FJ37"")"),503280)</f>
        <v>503280</v>
      </c>
      <c r="M449" s="899">
        <f ca="1">L449</f>
        <v>503280</v>
      </c>
      <c r="N449" s="899">
        <f>N450+N451+N452+N453</f>
        <v>157156</v>
      </c>
      <c r="O449" s="899">
        <f t="shared" ca="1" si="198"/>
        <v>31.226355110475282</v>
      </c>
      <c r="P449" s="899">
        <f t="shared" ca="1" si="199"/>
        <v>31.226355110475282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81590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f>36886+13000</f>
        <v>49886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25680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IFERROR(__xludf.DUMMYFUNCTION("IMPORTRANGE(""https://docs.google.com/spreadsheets/d/1QqKyyYR6Q21VydFLVH3TRQUabQu_ym0Zz7PgGX0-kHA/edit?usp=sharing"",""แผน!FM37"")"),0)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IFERROR(__xludf.DUMMYFUNCTION("IMPORTRANGE(""https://docs.google.com/spreadsheets/d/1QqKyyYR6Q21VydFLVH3TRQUabQu_ym0Zz7PgGX0-kHA/edit?usp=sharing"",""แผน!FN37"")"),100)</f>
        <v>100</v>
      </c>
      <c r="J460" s="1024">
        <v>100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IFERROR(__xludf.DUMMYFUNCTION("IMPORTRANGE(""https://docs.google.com/spreadsheets/d/1QqKyyYR6Q21VydFLVH3TRQUabQu_ym0Zz7PgGX0-kHA/edit?usp=sharing"",""แผน!FO37"")"),150)</f>
        <v>150</v>
      </c>
      <c r="J462" s="1024">
        <v>150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IFERROR(__xludf.DUMMYFUNCTION("IMPORTRANGE(""https://docs.google.com/spreadsheets/d/1QqKyyYR6Q21VydFLVH3TRQUabQu_ym0Zz7PgGX0-kHA/edit?usp=sharing"",""แผน!FO37"")"),150)</f>
        <v>150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IFERROR(__xludf.DUMMYFUNCTION("IMPORTRANGE(""https://docs.google.com/spreadsheets/d/1QqKyyYR6Q21VydFLVH3TRQUabQu_ym0Zz7PgGX0-kHA/edit?usp=sharing"",""แผน!FN37"")"),100)</f>
        <v>100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IFERROR(__xludf.DUMMYFUNCTION("IMPORTRANGE(""https://docs.google.com/spreadsheets/d/1QqKyyYR6Q21VydFLVH3TRQUabQu_ym0Zz7PgGX0-kHA/edit?usp=sharing"",""แผน!FX37"")"),131)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IFERROR(__xludf.DUMMYFUNCTION("IMPORTRANGE(""https://docs.google.com/spreadsheets/d/1QqKyyYR6Q21VydFLVH3TRQUabQu_ym0Zz7PgGX0-kHA/edit?usp=sharing"",""แผน!FW37"")"),1300)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1173538</v>
      </c>
      <c r="M467" s="1032">
        <f t="shared" ca="1" si="206"/>
        <v>1173538</v>
      </c>
      <c r="N467" s="1032">
        <f t="shared" si="206"/>
        <v>186123</v>
      </c>
      <c r="O467" s="1032">
        <f t="shared" ref="O467:O472" ca="1" si="207">IF(L467&gt;0,N467*100/L467,0)</f>
        <v>15.859989195066543</v>
      </c>
      <c r="P467" s="1032">
        <f t="shared" ref="P467:P472" ca="1" si="208">IF(M467&gt;0,N467*100/M467,0)</f>
        <v>15.859989195066543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1173538</v>
      </c>
      <c r="M469" s="899">
        <f t="shared" ca="1" si="209"/>
        <v>1173538</v>
      </c>
      <c r="N469" s="899">
        <f t="shared" si="209"/>
        <v>186123</v>
      </c>
      <c r="O469" s="899">
        <f t="shared" ca="1" si="207"/>
        <v>15.859989195066543</v>
      </c>
      <c r="P469" s="899">
        <f t="shared" ca="1" si="208"/>
        <v>15.859989195066543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1173538</v>
      </c>
      <c r="M470" s="893">
        <f t="shared" ca="1" si="210"/>
        <v>1173538</v>
      </c>
      <c r="N470" s="893">
        <f t="shared" si="210"/>
        <v>186123</v>
      </c>
      <c r="O470" s="893">
        <f t="shared" ca="1" si="207"/>
        <v>15.859989195066543</v>
      </c>
      <c r="P470" s="893">
        <f t="shared" ca="1" si="208"/>
        <v>15.859989195066543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IFERROR(__xludf.DUMMYFUNCTION("IMPORTRANGE(""https://docs.google.com/spreadsheets/d/1QqKyyYR6Q21VydFLVH3TRQUabQu_ym0Zz7PgGX0-kHA/edit?usp=sharing"",""แผน!FS37"")"),1173538)</f>
        <v>1173538</v>
      </c>
      <c r="M472" s="899">
        <f ca="1">L472</f>
        <v>1173538</v>
      </c>
      <c r="N472" s="899">
        <f>N473+N474+N475+N476</f>
        <v>186123</v>
      </c>
      <c r="O472" s="899">
        <f t="shared" ca="1" si="207"/>
        <v>15.859989195066543</v>
      </c>
      <c r="P472" s="899">
        <f t="shared" ca="1" si="208"/>
        <v>15.859989195066543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121603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f>143000-104840+13000</f>
        <v>51160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13360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IFERROR(__xludf.DUMMYFUNCTION("IMPORTRANGE(""https://docs.google.com/spreadsheets/d/1QqKyyYR6Q21VydFLVH3TRQUabQu_ym0Zz7PgGX0-kHA/edit?usp=sharing"",""แผน!FV37"")"),0)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IFERROR(__xludf.DUMMYFUNCTION("IMPORTRANGE(""https://docs.google.com/spreadsheets/d/1QqKyyYR6Q21VydFLVH3TRQUabQu_ym0Zz7PgGX0-kHA/edit?usp=sharing"",""แผน!FY37"")"),1170)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IFERROR(__xludf.DUMMYFUNCTION("IMPORTRANGE(""https://docs.google.com/spreadsheets/d/1QqKyyYR6Q21VydFLVH3TRQUabQu_ym0Zz7PgGX0-kHA/edit?usp=sharing"",""แผน!FZ37"")"),117)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IFERROR(__xludf.DUMMYFUNCTION("IMPORTRANGE(""https://docs.google.com/spreadsheets/d/1QqKyyYR6Q21VydFLVH3TRQUabQu_ym0Zz7PgGX0-kHA/edit?usp=sharing"",""แผน!GA37"")"),130)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IFERROR(__xludf.DUMMYFUNCTION("IMPORTRANGE(""https://docs.google.com/spreadsheets/d/1QqKyyYR6Q21VydFLVH3TRQUabQu_ym0Zz7PgGX0-kHA/edit?usp=sharing"",""แผน!GB37"")"),13)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IFERROR(__xludf.DUMMYFUNCTION("IMPORTRANGE(""https://docs.google.com/spreadsheets/d/1QqKyyYR6Q21VydFLVH3TRQUabQu_ym0Zz7PgGX0-kHA/edit?usp=sharing"",""แผน!GC37"")"),1)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IFERROR(__xludf.DUMMYFUNCTION("IMPORTRANGE(""https://docs.google.com/spreadsheets/d/1QqKyyYR6Q21VydFLVH3TRQUabQu_ym0Zz7PgGX0-kHA/edit?usp=sharing"",""แผน!FY37"")"),1170)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IFERROR(__xludf.DUMMYFUNCTION("IMPORTRANGE(""https://docs.google.com/spreadsheets/d/1QqKyyYR6Q21VydFLVH3TRQUabQu_ym0Zz7PgGX0-kHA/edit?usp=sharing"",""แผน!GA37"")"),130)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IFERROR(__xludf.DUMMYFUNCTION("IMPORTRANGE(""https://docs.google.com/spreadsheets/d/1QqKyyYR6Q21VydFLVH3TRQUabQu_ym0Zz7PgGX0-kHA/edit?usp=sharing"",""แผน!GQ37"")"),0)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IFERROR(__xludf.DUMMYFUNCTION("IMPORTRANGE(""https://docs.google.com/spreadsheets/d/1QqKyyYR6Q21VydFLVH3TRQUabQu_ym0Zz7PgGX0-kHA/edit?usp=sharing"",""แผน!GT37"")"),0)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IFERROR(__xludf.DUMMYFUNCTION("IMPORTRANGE(""https://docs.google.com/spreadsheets/d/1QqKyyYR6Q21VydFLVH3TRQUabQu_ym0Zz7PgGX0-kHA/edit?usp=sharing"",""แผน!GU37"")"),0)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IFERROR(__xludf.DUMMYFUNCTION("IMPORTRANGE(""https://docs.google.com/spreadsheets/d/1QqKyyYR6Q21VydFLVH3TRQUabQu_ym0Zz7PgGX0-kHA/edit?usp=sharing"",""แผน!GV37"")"),0)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IFERROR(__xludf.DUMMYFUNCTION("IMPORTRANGE(""https://docs.google.com/spreadsheets/d/1QqKyyYR6Q21VydFLVH3TRQUabQu_ym0Zz7PgGX0-kHA/edit?usp=sharing"",""แผน!GW37"")"),0)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IFERROR(__xludf.DUMMYFUNCTION("IMPORTRANGE(""https://docs.google.com/spreadsheets/d/1QqKyyYR6Q21VydFLVH3TRQUabQu_ym0Zz7PgGX0-kHA/edit?usp=sharing"",""แผน!GX37"")"),0)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IFERROR(__xludf.DUMMYFUNCTION("IMPORTRANGE(""https://docs.google.com/spreadsheets/d/1QqKyyYR6Q21VydFLVH3TRQUabQu_ym0Zz7PgGX0-kHA/edit?usp=sharing"",""แผน!GY37"")"),0)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IFERROR(__xludf.DUMMYFUNCTION("IMPORTRANGE(""https://docs.google.com/spreadsheets/d/1QqKyyYR6Q21VydFLVH3TRQUabQu_ym0Zz7PgGX0-kHA/edit?usp=sharing"",""แผน!GZ37"")"),0)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90157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487547</v>
      </c>
      <c r="M544" s="1004">
        <f t="shared" ca="1" si="236"/>
        <v>487547</v>
      </c>
      <c r="N544" s="1004">
        <f t="shared" si="236"/>
        <v>160156</v>
      </c>
      <c r="O544" s="1004">
        <f t="shared" ref="O544:O549" ca="1" si="237">IF(L544&gt;0,N544*100/L544,0)</f>
        <v>32.849345806660693</v>
      </c>
      <c r="P544" s="1004">
        <f t="shared" ref="P544:P549" ca="1" si="238">IF(M544&gt;0,N544*100/M544,0)</f>
        <v>32.849345806660693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487547</v>
      </c>
      <c r="M546" s="899">
        <f t="shared" ca="1" si="240"/>
        <v>487547</v>
      </c>
      <c r="N546" s="899">
        <f t="shared" si="240"/>
        <v>160156</v>
      </c>
      <c r="O546" s="899">
        <f t="shared" ca="1" si="237"/>
        <v>32.849345806660693</v>
      </c>
      <c r="P546" s="899">
        <f t="shared" ca="1" si="238"/>
        <v>32.849345806660693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487547</v>
      </c>
      <c r="M547" s="893">
        <f t="shared" ca="1" si="241"/>
        <v>487547</v>
      </c>
      <c r="N547" s="893">
        <f t="shared" si="241"/>
        <v>160156</v>
      </c>
      <c r="O547" s="893">
        <f t="shared" ca="1" si="237"/>
        <v>32.849345806660693</v>
      </c>
      <c r="P547" s="893">
        <f t="shared" ca="1" si="238"/>
        <v>32.849345806660693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IFERROR(__xludf.DUMMYFUNCTION("IMPORTRANGE(""https://docs.google.com/spreadsheets/d/1QqKyyYR6Q21VydFLVH3TRQUabQu_ym0Zz7PgGX0-kHA/edit?usp=sharing"",""แผน!HB37"")"),487547)</f>
        <v>487547</v>
      </c>
      <c r="M549" s="899">
        <f ca="1">L549</f>
        <v>487547</v>
      </c>
      <c r="N549" s="899">
        <f>N550+N551+N552+N553+N554</f>
        <v>160156</v>
      </c>
      <c r="O549" s="899">
        <f t="shared" ca="1" si="237"/>
        <v>32.849345806660693</v>
      </c>
      <c r="P549" s="899">
        <f t="shared" ca="1" si="238"/>
        <v>32.849345806660693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f>12290</f>
        <v>12290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f>143000-104840+13000+13000</f>
        <v>64160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7600+52710+2280+6625+990+2841+2520+2380+5760</f>
        <v>83706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IFERROR(__xludf.DUMMYFUNCTION("IMPORTRANGE(""https://docs.google.com/spreadsheets/d/1QqKyyYR6Q21VydFLVH3TRQUabQu_ym0Zz7PgGX0-kHA/edit?usp=sharing"",""แผน!HF37"")"),0)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90157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IFERROR(__xludf.DUMMYFUNCTION("IMPORTRANGE(""https://docs.google.com/spreadsheets/d/1QqKyyYR6Q21VydFLVH3TRQUabQu_ym0Zz7PgGX0-kHA/edit?usp=sharing"",""แผน!HH37"")"),90157)</f>
        <v>90157</v>
      </c>
      <c r="J560" s="1030">
        <f t="shared" ref="J560:J561" si="247">J562+J564+J566</f>
        <v>90157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IFERROR(__xludf.DUMMYFUNCTION("IMPORTRANGE(""https://docs.google.com/spreadsheets/d/1QqKyyYR6Q21VydFLVH3TRQUabQu_ym0Zz7PgGX0-kHA/edit?usp=sharing"",""แผน!HG37"")"),7894)</f>
        <v>7894</v>
      </c>
      <c r="J561" s="1030">
        <f t="shared" si="247"/>
        <v>7894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74026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6762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13719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944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2412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188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IFERROR(__xludf.DUMMYFUNCTION("IMPORTRANGE(""https://docs.google.com/spreadsheets/d/1QqKyyYR6Q21VydFLVH3TRQUabQu_ym0Zz7PgGX0-kHA/edit?usp=sharing"",""แผน!HH37"")"),90157)</f>
        <v>90157</v>
      </c>
      <c r="J568" s="1031">
        <f t="shared" ref="J568:J569" si="248">J570+J572+J574</f>
        <v>90157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IFERROR(__xludf.DUMMYFUNCTION("IMPORTRANGE(""https://docs.google.com/spreadsheets/d/1QqKyyYR6Q21VydFLVH3TRQUabQu_ym0Zz7PgGX0-kHA/edit?usp=sharing"",""แผน!HG37"")"),7894)</f>
        <v>7894</v>
      </c>
      <c r="J569" s="1031">
        <f t="shared" si="248"/>
        <v>7894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76518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6950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11227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756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2412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188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IFERROR(__xludf.DUMMYFUNCTION("IMPORTRANGE(""https://docs.google.com/spreadsheets/d/1QqKyyYR6Q21VydFLVH3TRQUabQu_ym0Zz7PgGX0-kHA/edit?usp=sharing"",""แผน!HH37"")"),90157)</f>
        <v>90157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IFERROR(__xludf.DUMMYFUNCTION("IMPORTRANGE(""https://docs.google.com/spreadsheets/d/1QqKyyYR6Q21VydFLVH3TRQUabQu_ym0Zz7PgGX0-kHA/edit?usp=sharing"",""แผน!HG37"")"),7894)</f>
        <v>7894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6390.89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IFERROR(__xludf.DUMMYFUNCTION("IMPORTRANGE(""https://docs.google.com/spreadsheets/d/1QqKyyYR6Q21VydFLVH3TRQUabQu_ym0Zz7PgGX0-kHA/edit?usp=sharing"",""แผน!HJ37"")"),6390.89)</f>
        <v>6390.89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IFERROR(__xludf.DUMMYFUNCTION("IMPORTRANGE(""https://docs.google.com/spreadsheets/d/1QqKyyYR6Q21VydFLVH3TRQUabQu_ym0Zz7PgGX0-kHA/edit?usp=sharing"",""แผน!HI37"")"),339)</f>
        <v>339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IFERROR(__xludf.DUMMYFUNCTION("IMPORTRANGE(""https://docs.google.com/spreadsheets/d/1QqKyyYR6Q21VydFLVH3TRQUabQu_ym0Zz7PgGX0-kHA/edit?usp=sharing"",""แผน!HL37"")"),157)</f>
        <v>157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IFERROR(__xludf.DUMMYFUNCTION("IMPORTRANGE(""https://docs.google.com/spreadsheets/d/1QqKyyYR6Q21VydFLVH3TRQUabQu_ym0Zz7PgGX0-kHA/edit?usp=sharing"",""แผน!HK37"")"),9)</f>
        <v>9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100</v>
      </c>
      <c r="J628" s="1438">
        <f t="shared" ca="1" si="262"/>
        <v>52</v>
      </c>
      <c r="K628" s="1439">
        <f ca="1">IF(I628&gt;0,J628*100/I628,0)</f>
        <v>52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358310</v>
      </c>
      <c r="M629" s="1032">
        <f t="shared" ca="1" si="263"/>
        <v>358310</v>
      </c>
      <c r="N629" s="1032">
        <f t="shared" si="263"/>
        <v>161550</v>
      </c>
      <c r="O629" s="1032">
        <f t="shared" ref="O629:O634" ca="1" si="264">IF(L629&gt;0,N629*100/L629,0)</f>
        <v>45.086656805559429</v>
      </c>
      <c r="P629" s="1032">
        <f t="shared" ref="P629:P634" ca="1" si="265">IF(M629&gt;0,N629*100/M629,0)</f>
        <v>45.086656805559429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358310</v>
      </c>
      <c r="M631" s="899">
        <f t="shared" ca="1" si="266"/>
        <v>358310</v>
      </c>
      <c r="N631" s="899">
        <f t="shared" si="266"/>
        <v>161550</v>
      </c>
      <c r="O631" s="899">
        <f t="shared" ca="1" si="264"/>
        <v>45.086656805559429</v>
      </c>
      <c r="P631" s="899">
        <f t="shared" ca="1" si="265"/>
        <v>45.086656805559429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358310</v>
      </c>
      <c r="M632" s="893">
        <f t="shared" ca="1" si="267"/>
        <v>358310</v>
      </c>
      <c r="N632" s="893">
        <f t="shared" si="267"/>
        <v>161550</v>
      </c>
      <c r="O632" s="893">
        <f t="shared" ca="1" si="264"/>
        <v>45.086656805559429</v>
      </c>
      <c r="P632" s="893">
        <f t="shared" ca="1" si="265"/>
        <v>45.086656805559429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IFERROR(__xludf.DUMMYFUNCTION("IMPORTRANGE(""https://docs.google.com/spreadsheets/d/1QqKyyYR6Q21VydFLVH3TRQUabQu_ym0Zz7PgGX0-kHA/edit?usp=sharing"",""แผน!HN37"")"),358310)</f>
        <v>358310</v>
      </c>
      <c r="M634" s="899">
        <f ca="1">L634</f>
        <v>358310</v>
      </c>
      <c r="N634" s="899">
        <f>N635+N636+N637+N638</f>
        <v>161550</v>
      </c>
      <c r="O634" s="899">
        <f t="shared" ca="1" si="264"/>
        <v>45.086656805559429</v>
      </c>
      <c r="P634" s="899">
        <f t="shared" ca="1" si="265"/>
        <v>45.086656805559429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f>1320+15000+7695</f>
        <v>24015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f>36900+13000+12160</f>
        <v>62060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26000+5280+13160+29250+1785</f>
        <v>75475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IFERROR(__xludf.DUMMYFUNCTION("IMPORTRANGE(""https://docs.google.com/spreadsheets/d/1QqKyyYR6Q21VydFLVH3TRQUabQu_ym0Zz7PgGX0-kHA/edit?usp=sharing"",""แผน!HQ37"")"),0)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IFERROR(__xludf.DUMMYFUNCTION("IMPORTRANGE(""https://docs.google.com/spreadsheets/d/1QqKyyYR6Q21VydFLVH3TRQUabQu_ym0Zz7PgGX0-kHA/edit?usp=sharing"",""แผน!HR37"")"),0)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IFERROR(__xludf.DUMMYFUNCTION("IMPORTRANGE(""https://docs.google.com/spreadsheets/d/1QqKyyYR6Q21VydFLVH3TRQUabQu_ym0Zz7PgGX0-kHA/edit?usp=sharing"",""แผน!HR37"")"),0)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IFERROR(__xludf.DUMMYFUNCTION("IMPORTRANGE(""https://docs.google.com/spreadsheets/d/1XWAQStnk-4SwqDmLtmXYiTMKHgktTP8We1SCoS47DrQ/edit?usp=sharing"",""จัดที่ดิน!AS37"")"),146)</f>
        <v>146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IFERROR(__xludf.DUMMYFUNCTION("IMPORTRANGE(""https://docs.google.com/spreadsheets/d/1XWAQStnk-4SwqDmLtmXYiTMKHgktTP8We1SCoS47DrQ/edit?usp=sharing"",""จัดที่ดิน!AT37"")"),88.47)</f>
        <v>88.47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IFERROR(__xludf.DUMMYFUNCTION("IMPORTRANGE(""https://docs.google.com/spreadsheets/d/1QqKyyYR6Q21VydFLVH3TRQUabQu_ym0Zz7PgGX0-kHA/edit?usp=sharing"",""แผน!HS37"")"),100)</f>
        <v>100</v>
      </c>
      <c r="J647" s="892">
        <f ca="1">IFERROR(__xludf.DUMMYFUNCTION("IMPORTRANGE(""https://docs.google.com/spreadsheets/d/1XWAQStnk-4SwqDmLtmXYiTMKHgktTP8We1SCoS47DrQ/edit?usp=sharing"",""จัดที่ดิน!AU37"")"),53)</f>
        <v>53</v>
      </c>
      <c r="K647" s="1010">
        <f t="shared" ca="1" si="271"/>
        <v>53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IFERROR(__xludf.DUMMYFUNCTION("IMPORTRANGE(""https://docs.google.com/spreadsheets/d/1XWAQStnk-4SwqDmLtmXYiTMKHgktTP8We1SCoS47DrQ/edit?usp=sharing"",""จัดที่ดิน!AV37"")"),32.57)</f>
        <v>32.57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IFERROR(__xludf.DUMMYFUNCTION("IMPORTRANGE(""https://docs.google.com/spreadsheets/d/1QqKyyYR6Q21VydFLVH3TRQUabQu_ym0Zz7PgGX0-kHA/edit?usp=sharing"",""แผน!HS37"")"),100)</f>
        <v>100</v>
      </c>
      <c r="J649" s="892">
        <f ca="1">IFERROR(__xludf.DUMMYFUNCTION("IMPORTRANGE(""https://docs.google.com/spreadsheets/d/1XWAQStnk-4SwqDmLtmXYiTMKHgktTP8We1SCoS47DrQ/edit?usp=sharing"",""จัดที่ดิน!AW37"")"),52)</f>
        <v>52</v>
      </c>
      <c r="K649" s="1010">
        <f t="shared" ca="1" si="271"/>
        <v>52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IFERROR(__xludf.DUMMYFUNCTION("IMPORTRANGE(""https://docs.google.com/spreadsheets/d/1XWAQStnk-4SwqDmLtmXYiTMKHgktTP8We1SCoS47DrQ/edit?usp=sharing"",""จัดที่ดิน!AX37"")"),29.13)</f>
        <v>29.13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IFERROR(__xludf.DUMMYFUNCTION("IMPORTRANGE(""https://docs.google.com/spreadsheets/d/1QqKyyYR6Q21VydFLVH3TRQUabQu_ym0Zz7PgGX0-kHA/edit?usp=sharing"",""แผน!HS37"")"),100)</f>
        <v>100</v>
      </c>
      <c r="J651" s="892">
        <f ca="1">IFERROR(__xludf.DUMMYFUNCTION("IMPORTRANGE(""https://docs.google.com/spreadsheets/d/1XWAQStnk-4SwqDmLtmXYiTMKHgktTP8We1SCoS47DrQ/edit?usp=sharing"",""จัดที่ดิน!AY37"")"),52)</f>
        <v>52</v>
      </c>
      <c r="K651" s="1010">
        <f t="shared" ca="1" si="271"/>
        <v>52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IFERROR(__xludf.DUMMYFUNCTION("IMPORTRANGE(""https://docs.google.com/spreadsheets/d/1XWAQStnk-4SwqDmLtmXYiTMKHgktTP8We1SCoS47DrQ/edit?usp=sharing"",""จัดที่ดิน!AZ37"")"),29.13)</f>
        <v>29.13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 hidden="1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IFERROR(__xludf.DUMMYFUNCTION("IMPORTRANGE(""https://docs.google.com/spreadsheets/d/1QqKyyYR6Q21VydFLVH3TRQUabQu_ym0Zz7PgGX0-kHA/edit?usp=sharing"",""แผน!HV37"")"),0)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IFERROR(__xludf.DUMMYFUNCTION("IMPORTRANGE(""https://docs.google.com/spreadsheets/d/1QqKyyYR6Q21VydFLVH3TRQUabQu_ym0Zz7PgGX0-kHA/edit?usp=sharing"",""แผน!IA37"")"),0)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IFERROR(__xludf.DUMMYFUNCTION("IMPORTRANGE(""https://docs.google.com/spreadsheets/d/1QqKyyYR6Q21VydFLVH3TRQUabQu_ym0Zz7PgGX0-kHA/edit?usp=sharing"",""แผน!HZ37"")"),0)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IFERROR(__xludf.DUMMYFUNCTION("IMPORTRANGE(""https://docs.google.com/spreadsheets/d/1QqKyyYR6Q21VydFLVH3TRQUabQu_ym0Zz7PgGX0-kHA/edit?usp=sharing"",""แผน!HZ37"")"),0)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IFERROR(__xludf.DUMMYFUNCTION("IMPORTRANGE(""https://docs.google.com/spreadsheets/d/1QqKyyYR6Q21VydFLVH3TRQUabQu_ym0Zz7PgGX0-kHA/edit?usp=sharing"",""แผน!IB37"")"),0)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 hidden="1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 hidden="1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0</v>
      </c>
      <c r="M685" s="1032">
        <f t="shared" si="282"/>
        <v>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0</v>
      </c>
      <c r="M687" s="899">
        <f t="shared" si="285"/>
        <v>0</v>
      </c>
      <c r="N687" s="899">
        <f t="shared" si="285"/>
        <v>0</v>
      </c>
      <c r="O687" s="899">
        <f t="shared" ca="1" si="283"/>
        <v>0</v>
      </c>
      <c r="P687" s="899">
        <f t="shared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 hidden="1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0</v>
      </c>
      <c r="M688" s="893">
        <f t="shared" si="286"/>
        <v>0</v>
      </c>
      <c r="N688" s="893">
        <f t="shared" si="286"/>
        <v>0</v>
      </c>
      <c r="O688" s="893">
        <f t="shared" ca="1" si="283"/>
        <v>0</v>
      </c>
      <c r="P688" s="893">
        <f t="shared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IFERROR(__xludf.DUMMYFUNCTION("IMPORTRANGE(""https://docs.google.com/spreadsheets/d/1QqKyyYR6Q21VydFLVH3TRQUabQu_ym0Zz7PgGX0-kHA/edit?usp=sharing"",""แผน!HW37"")"),0)</f>
        <v>0</v>
      </c>
      <c r="M690" s="899">
        <v>0</v>
      </c>
      <c r="N690" s="899">
        <f>N691+N692+N693+N694</f>
        <v>0</v>
      </c>
      <c r="O690" s="899">
        <f ca="1">IF(L690&gt;0,N690*100/L690,0)</f>
        <v>0</v>
      </c>
      <c r="P690" s="899">
        <f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 hidden="1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 hidden="1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 hidden="1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 hidden="1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 hidden="1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 hidden="1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 hidden="1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IFERROR(__xludf.DUMMYFUNCTION("IMPORTRANGE(""https://docs.google.com/spreadsheets/d/1QqKyyYR6Q21VydFLVH3TRQUabQu_ym0Zz7PgGX0-kHA/edit?usp=sharing"",""แผน!IC37"")"),0)</f>
        <v>0</v>
      </c>
      <c r="J699" s="892">
        <f ca="1">IFERROR(__xludf.DUMMYFUNCTION("IMPORTRANGE(""https://docs.google.com/spreadsheets/d/1XWAQStnk-4SwqDmLtmXYiTMKHgktTP8We1SCoS47DrQ/edit?usp=sharing"",""จัดที่ดิน!BB37"")"),0)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 hidden="1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IFERROR(__xludf.DUMMYFUNCTION("IMPORTRANGE(""https://docs.google.com/spreadsheets/d/1QqKyyYR6Q21VydFLVH3TRQUabQu_ym0Zz7PgGX0-kHA/edit?usp=sharing"",""แผน!ID37"")"),0)</f>
        <v>0</v>
      </c>
      <c r="J700" s="892">
        <f ca="1">IFERROR(__xludf.DUMMYFUNCTION("IMPORTRANGE(""https://docs.google.com/spreadsheets/d/1XWAQStnk-4SwqDmLtmXYiTMKHgktTP8We1SCoS47DrQ/edit?usp=sharing"",""จัดที่ดิน!BD37"")"),0)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IFERROR(__xludf.DUMMYFUNCTION("IMPORTRANGE(""https://docs.google.com/spreadsheets/d/1QqKyyYR6Q21VydFLVH3TRQUabQu_ym0Zz7PgGX0-kHA/edit?usp=sharing"",""แผน!IE37"")"),0)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IFERROR(__xludf.DUMMYFUNCTION("IMPORTRANGE(""https://docs.google.com/spreadsheets/d/1QqKyyYR6Q21VydFLVH3TRQUabQu_ym0Zz7PgGX0-kHA/edit?usp=sharing"",""แผน!IF37"")"),0)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IFERROR(__xludf.DUMMYFUNCTION("IMPORTRANGE(""https://docs.google.com/spreadsheets/d/1QqKyyYR6Q21VydFLVH3TRQUabQu_ym0Zz7PgGX0-kHA/edit?usp=sharing"",""แผน!IG37"")"),0)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IFERROR(__xludf.DUMMYFUNCTION("IMPORTRANGE(""https://docs.google.com/spreadsheets/d/1QqKyyYR6Q21VydFLVH3TRQUabQu_ym0Zz7PgGX0-kHA/edit?usp=sharing"",""แผน!IH37"")"),0)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IFERROR(__xludf.DUMMYFUNCTION("IMPORTRANGE(""https://docs.google.com/spreadsheets/d/1XWAQStnk-4SwqDmLtmXYiTMKHgktTP8We1SCoS47DrQ/edit?usp=sharing"",""จัดที่ดิน!BF37"")"),0)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IFERROR(__xludf.DUMMYFUNCTION("IMPORTRANGE(""https://docs.google.com/spreadsheets/d/1XWAQStnk-4SwqDmLtmXYiTMKHgktTP8We1SCoS47DrQ/edit?usp=sharing"",""จัดที่ดิน!BG37"")"),0)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IFERROR(__xludf.DUMMYFUNCTION("IMPORTRANGE(""https://docs.google.com/spreadsheets/d/1QqKyyYR6Q21VydFLVH3TRQUabQu_ym0Zz7PgGX0-kHA/edit?usp=sharing"",""แผน!II37"")"),0)</f>
        <v>0</v>
      </c>
      <c r="J720" s="892">
        <f ca="1">IFERROR(__xludf.DUMMYFUNCTION("IMPORTRANGE(""https://docs.google.com/spreadsheets/d/1XWAQStnk-4SwqDmLtmXYiTMKHgktTP8We1SCoS47DrQ/edit?usp=sharing"",""จัดที่ดิน!BH37"")"),0)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IFERROR(__xludf.DUMMYFUNCTION("IMPORTRANGE(""https://docs.google.com/spreadsheets/d/1QqKyyYR6Q21VydFLVH3TRQUabQu_ym0Zz7PgGX0-kHA/edit?usp=sharing"",""แผน!IJ37"")"),0)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IFERROR(__xludf.DUMMYFUNCTION("IMPORTRANGE(""https://docs.google.com/spreadsheets/d/1QqKyyYR6Q21VydFLVH3TRQUabQu_ym0Zz7PgGX0-kHA/edit?usp=sharing"",""แผน!IK37"")"),0)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IFERROR(__xludf.DUMMYFUNCTION("IMPORTRANGE(""https://docs.google.com/spreadsheets/d/1QqKyyYR6Q21VydFLVH3TRQUabQu_ym0Zz7PgGX0-kHA/edit?usp=sharing"",""แผน!IL37"")"),0)</f>
        <v>0</v>
      </c>
      <c r="J723" s="892">
        <f ca="1">IFERROR(__xludf.DUMMYFUNCTION("IMPORTRANGE(""https://docs.google.com/spreadsheets/d/1XWAQStnk-4SwqDmLtmXYiTMKHgktTP8We1SCoS47DrQ/edit?usp=sharing"",""จัดที่ดิน!BM37"")"),0)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IFERROR(__xludf.DUMMYFUNCTION("IMPORTRANGE(""https://docs.google.com/spreadsheets/d/1XWAQStnk-4SwqDmLtmXYiTMKHgktTP8We1SCoS47DrQ/edit?usp=sharing"",""จัดที่ดิน!BN37"")"),0)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IFERROR(__xludf.DUMMYFUNCTION("IMPORTRANGE(""https://docs.google.com/spreadsheets/d/1QqKyyYR6Q21VydFLVH3TRQUabQu_ym0Zz7PgGX0-kHA/edit?usp=sharing"",""แผน!IM37"")"),0)</f>
        <v>0</v>
      </c>
      <c r="J725" s="892">
        <f ca="1">IFERROR(__xludf.DUMMYFUNCTION("IMPORTRANGE(""https://docs.google.com/spreadsheets/d/1XWAQStnk-4SwqDmLtmXYiTMKHgktTP8We1SCoS47DrQ/edit?usp=sharing"",""จัดที่ดิน!BO37"")"),0)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IFERROR(__xludf.DUMMYFUNCTION("IMPORTRANGE(""https://docs.google.com/spreadsheets/d/1QqKyyYR6Q21VydFLVH3TRQUabQu_ym0Zz7PgGX0-kHA/edit?usp=sharing"",""แผน!IN37"")"),0)</f>
        <v>0</v>
      </c>
      <c r="J726" s="892">
        <f ca="1">IFERROR(__xludf.DUMMYFUNCTION("IMPORTRANGE(""https://docs.google.com/spreadsheets/d/1XWAQStnk-4SwqDmLtmXYiTMKHgktTP8We1SCoS47DrQ/edit?usp=sharing"",""จัดที่ดิน!BR37"")"),0)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IFERROR(__xludf.DUMMYFUNCTION("IMPORTRANGE(""https://docs.google.com/spreadsheets/d/1XWAQStnk-4SwqDmLtmXYiTMKHgktTP8We1SCoS47DrQ/edit?usp=sharing"",""จัดที่ดิน!BS37"")"),0)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IFERROR(__xludf.DUMMYFUNCTION("IMPORTRANGE(""https://docs.google.com/spreadsheets/d/1QqKyyYR6Q21VydFLVH3TRQUabQu_ym0Zz7PgGX0-kHA/edit?usp=sharing"",""แผน!IO37"")"),0)</f>
        <v>0</v>
      </c>
      <c r="J728" s="892">
        <f ca="1">IFERROR(__xludf.DUMMYFUNCTION("IMPORTRANGE(""https://docs.google.com/spreadsheets/d/1XWAQStnk-4SwqDmLtmXYiTMKHgktTP8We1SCoS47DrQ/edit?usp=sharing"",""จัดที่ดิน!BT37"")"),0)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IFERROR(__xludf.DUMMYFUNCTION("IMPORTRANGE(""https://docs.google.com/spreadsheets/d/1QqKyyYR6Q21VydFLVH3TRQUabQu_ym0Zz7PgGX0-kHA/edit?usp=sharing"",""แผน!IP37"")"),0)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3000</v>
      </c>
      <c r="J785" s="804">
        <f t="shared" ca="1" si="318"/>
        <v>0</v>
      </c>
      <c r="K785" s="805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213920</v>
      </c>
      <c r="M786" s="1032">
        <f t="shared" ca="1" si="319"/>
        <v>213920</v>
      </c>
      <c r="N786" s="1032">
        <f t="shared" si="319"/>
        <v>12000</v>
      </c>
      <c r="O786" s="1032">
        <f t="shared" ref="O786:O791" ca="1" si="320">IF(L786&gt;0,N786*100/L786,0)</f>
        <v>5.6095736724008978</v>
      </c>
      <c r="P786" s="1032">
        <f t="shared" ref="P786:P791" ca="1" si="321">IF(M786&gt;0,N786*100/M786,0)</f>
        <v>5.6095736724008978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213920</v>
      </c>
      <c r="M788" s="899">
        <f t="shared" ca="1" si="322"/>
        <v>213920</v>
      </c>
      <c r="N788" s="899">
        <f t="shared" si="322"/>
        <v>12000</v>
      </c>
      <c r="O788" s="899">
        <f t="shared" ca="1" si="320"/>
        <v>5.6095736724008978</v>
      </c>
      <c r="P788" s="899">
        <f t="shared" ca="1" si="321"/>
        <v>5.6095736724008978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213920</v>
      </c>
      <c r="M789" s="893">
        <f t="shared" ca="1" si="323"/>
        <v>213920</v>
      </c>
      <c r="N789" s="893">
        <f t="shared" si="323"/>
        <v>12000</v>
      </c>
      <c r="O789" s="893">
        <f t="shared" ca="1" si="320"/>
        <v>5.6095736724008978</v>
      </c>
      <c r="P789" s="893">
        <f t="shared" ca="1" si="321"/>
        <v>5.6095736724008978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IFERROR(__xludf.DUMMYFUNCTION("IMPORTRANGE(""https://docs.google.com/spreadsheets/d/1QqKyyYR6Q21VydFLVH3TRQUabQu_ym0Zz7PgGX0-kHA/edit?usp=sharing"",""แผน!JJ37"")"),213920)</f>
        <v>213920</v>
      </c>
      <c r="M791" s="899">
        <f ca="1">L791</f>
        <v>213920</v>
      </c>
      <c r="N791" s="899">
        <f>N792+N793+N794+N795</f>
        <v>12000</v>
      </c>
      <c r="O791" s="899">
        <f t="shared" ca="1" si="320"/>
        <v>5.6095736724008978</v>
      </c>
      <c r="P791" s="899">
        <f t="shared" ca="1" si="321"/>
        <v>5.6095736724008978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f>12000</f>
        <v>12000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IFERROR(__xludf.DUMMYFUNCTION("IMPORTRANGE(""https://docs.google.com/spreadsheets/d/1MaWodYyGHDf7siQLGxnXhG4mBNTNIuy296niS2xXulU/edit?usp=sharing"",""RTK!H37"")"),0)</f>
        <v>0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IFERROR(__xludf.DUMMYFUNCTION("IMPORTRANGE(""https://docs.google.com/spreadsheets/d/1MaWodYyGHDf7siQLGxnXhG4mBNTNIuy296niS2xXulU/edit?usp=sharing"",""RTK!G37"")"),3000)</f>
        <v>3000</v>
      </c>
      <c r="J801" s="819">
        <f ca="1">IFERROR(__xludf.DUMMYFUNCTION("IMPORTRANGE(""https://docs.google.com/spreadsheets/d/1MaWodYyGHDf7siQLGxnXhG4mBNTNIuy296niS2xXulU/edit?usp=sharing"",""RTK!I37"")"),0)</f>
        <v>0</v>
      </c>
      <c r="K801" s="820">
        <f ca="1">IF(I801&gt;0,J801*100/I801,0)</f>
        <v>0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IFERROR(__xludf.DUMMYFUNCTION("IMPORTRANGE(""https://docs.google.com/spreadsheets/d/1MaWodYyGHDf7siQLGxnXhG4mBNTNIuy296niS2xXulU/edit?usp=sharing"",""RTK!L37"")"),0)</f>
        <v>0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IFERROR(__xludf.DUMMYFUNCTION("IMPORTRANGE(""https://docs.google.com/spreadsheets/d/1MaWodYyGHDf7siQLGxnXhG4mBNTNIuy296niS2xXulU/edit?usp=sharing"",""RTK!K37"")"),0)</f>
        <v>0</v>
      </c>
      <c r="J803" s="819">
        <f ca="1">IFERROR(__xludf.DUMMYFUNCTION("IMPORTRANGE(""https://docs.google.com/spreadsheets/d/1MaWodYyGHDf7siQLGxnXhG4mBNTNIuy296niS2xXulU/edit?usp=sharing"",""RTK!M37"")"),0)</f>
        <v>0</v>
      </c>
      <c r="K803" s="820">
        <f t="shared" ref="K803:K804" ca="1" si="327">IF(I803&gt;0,J803*100/I803,0)</f>
        <v>0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892">
        <f ca="1">IFERROR(__xludf.DUMMYFUNCTION("IMPORTRANGE(""https://docs.google.com/spreadsheets/d/19vJNZY_5yjcGF2XGBMNZRCAIB0Kwfpjp8YEOfu-bneM/edit?usp=sharing"",""งานกองทุน!F37"")"),1382236.37)</f>
        <v>1382236.37</v>
      </c>
      <c r="K821" s="893">
        <f t="shared" ref="K821:K828" ca="1" si="336">IF(I821&gt;0,J821*100/I821,0)</f>
        <v>33.458580077010225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IFERROR(__xludf.DUMMYFUNCTION("IMPORTRANGE(""https://docs.google.com/spreadsheets/d/19vJNZY_5yjcGF2XGBMNZRCAIB0Kwfpjp8YEOfu-bneM/edit?usp=sharing"",""งานกองทุน!C37"")"),278)</f>
        <v>278</v>
      </c>
      <c r="J822" s="892">
        <f ca="1">IFERROR(__xludf.DUMMYFUNCTION("IMPORTRANGE(""https://docs.google.com/spreadsheets/d/19vJNZY_5yjcGF2XGBMNZRCAIB0Kwfpjp8YEOfu-bneM/edit?usp=sharing"",""งานกองทุน!E37"")"),81)</f>
        <v>81</v>
      </c>
      <c r="K822" s="893">
        <f t="shared" ca="1" si="336"/>
        <v>29.136690647482013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892">
        <f ca="1">IFERROR(__xludf.DUMMYFUNCTION("IMPORTRANGE(""https://docs.google.com/spreadsheets/d/19vJNZY_5yjcGF2XGBMNZRCAIB0Kwfpjp8YEOfu-bneM/edit?usp=sharing"",""งานกองทุน!K37"")"),178617.9)</f>
        <v>178617.9</v>
      </c>
      <c r="K823" s="893">
        <f t="shared" ca="1" si="336"/>
        <v>16.492509157757581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IFERROR(__xludf.DUMMYFUNCTION("IMPORTRANGE(""https://docs.google.com/spreadsheets/d/19vJNZY_5yjcGF2XGBMNZRCAIB0Kwfpjp8YEOfu-bneM/edit?usp=sharing"",""งานกองทุน!H37"")"),55)</f>
        <v>55</v>
      </c>
      <c r="J824" s="892">
        <f ca="1">IFERROR(__xludf.DUMMYFUNCTION("IMPORTRANGE(""https://docs.google.com/spreadsheets/d/19vJNZY_5yjcGF2XGBMNZRCAIB0Kwfpjp8YEOfu-bneM/edit?usp=sharing"",""งานกองทุน!J37"")"),26)</f>
        <v>26</v>
      </c>
      <c r="K824" s="893">
        <f t="shared" ca="1" si="336"/>
        <v>47.272727272727273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IFERROR(__xludf.DUMMYFUNCTION("IMPORTRANGE(""https://docs.google.com/spreadsheets/d/19vJNZY_5yjcGF2XGBMNZRCAIB0Kwfpjp8YEOfu-bneM/edit?usp=sharing"",""งานกองทุน!N37"")"),5947.5)</f>
        <v>5947.5</v>
      </c>
      <c r="J825" s="892">
        <f ca="1">IFERROR(__xludf.DUMMYFUNCTION("IMPORTRANGE(""https://docs.google.com/spreadsheets/d/19vJNZY_5yjcGF2XGBMNZRCAIB0Kwfpjp8YEOfu-bneM/edit?usp=sharing"",""งานกองทุน!P37"")"),5947.5)</f>
        <v>5947.5</v>
      </c>
      <c r="K825" s="893">
        <f t="shared" ca="1" si="336"/>
        <v>100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IFERROR(__xludf.DUMMYFUNCTION("IMPORTRANGE(""https://docs.google.com/spreadsheets/d/19vJNZY_5yjcGF2XGBMNZRCAIB0Kwfpjp8YEOfu-bneM/edit?usp=sharing"",""งานกองทุน!M37"")"),2)</f>
        <v>2</v>
      </c>
      <c r="J826" s="892">
        <f ca="1">IFERROR(__xludf.DUMMYFUNCTION("IMPORTRANGE(""https://docs.google.com/spreadsheets/d/19vJNZY_5yjcGF2XGBMNZRCAIB0Kwfpjp8YEOfu-bneM/edit?usp=sharing"",""งานกองทุน!O37"")"),2)</f>
        <v>2</v>
      </c>
      <c r="K826" s="893">
        <f t="shared" ca="1" si="336"/>
        <v>100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IFERROR(__xludf.DUMMYFUNCTION("IMPORTRANGE(""https://docs.google.com/spreadsheets/d/19vJNZY_5yjcGF2XGBMNZRCAIB0Kwfpjp8YEOfu-bneM/edit?usp=sharing"",""งานกองทุน!S37"")"),2800000)</f>
        <v>2800000</v>
      </c>
      <c r="J827" s="892">
        <f ca="1">IFERROR(__xludf.DUMMYFUNCTION("IMPORTRANGE(""https://docs.google.com/spreadsheets/d/19vJNZY_5yjcGF2XGBMNZRCAIB0Kwfpjp8YEOfu-bneM/edit?usp=sharing"",""งานกองทุน!U37"")"),0)</f>
        <v>0</v>
      </c>
      <c r="K827" s="893">
        <f t="shared" ca="1" si="336"/>
        <v>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IFERROR(__xludf.DUMMYFUNCTION("IMPORTRANGE(""https://docs.google.com/spreadsheets/d/19vJNZY_5yjcGF2XGBMNZRCAIB0Kwfpjp8YEOfu-bneM/edit?usp=sharing"",""งานกองทุน!R37"")"),112)</f>
        <v>112</v>
      </c>
      <c r="J828" s="1149">
        <f ca="1">IFERROR(__xludf.DUMMYFUNCTION("IMPORTRANGE(""https://docs.google.com/spreadsheets/d/19vJNZY_5yjcGF2XGBMNZRCAIB0Kwfpjp8YEOfu-bneM/edit?usp=sharing"",""งานกองทุน!T37"")"),0)</f>
        <v>0</v>
      </c>
      <c r="K828" s="1251">
        <f t="shared" ca="1" si="336"/>
        <v>0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6B62-02F4-4D6F-A108-A2BBBA381082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343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7753735</v>
      </c>
      <c r="M8" s="879">
        <f t="shared" ca="1" si="0"/>
        <v>6921649</v>
      </c>
      <c r="N8" s="879">
        <f t="shared" ca="1" si="0"/>
        <v>4107223.8</v>
      </c>
      <c r="O8" s="879">
        <f t="shared" ref="O8:O16" ca="1" si="1">IF(L8&gt;0,N8*100/L8,0)</f>
        <v>52.970907569061879</v>
      </c>
      <c r="P8" s="879">
        <f t="shared" ref="P8:P16" ca="1" si="2">IF(M8&gt;0,N8*100/M8,0)</f>
        <v>59.338804958182649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7753735</v>
      </c>
      <c r="M10" s="886">
        <f t="shared" ca="1" si="3"/>
        <v>6921649</v>
      </c>
      <c r="N10" s="886">
        <f t="shared" ca="1" si="3"/>
        <v>4107223.8</v>
      </c>
      <c r="O10" s="886">
        <f t="shared" ca="1" si="1"/>
        <v>52.970907569061879</v>
      </c>
      <c r="P10" s="886">
        <f t="shared" ca="1" si="2"/>
        <v>59.338804958182649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7639935</v>
      </c>
      <c r="M11" s="893">
        <f t="shared" ca="1" si="4"/>
        <v>6807849</v>
      </c>
      <c r="N11" s="893">
        <f t="shared" ca="1" si="4"/>
        <v>3993423.8</v>
      </c>
      <c r="O11" s="893">
        <f t="shared" ca="1" si="1"/>
        <v>52.270389734991198</v>
      </c>
      <c r="P11" s="893">
        <f t="shared" ca="1" si="2"/>
        <v>58.659112445061574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7639935</v>
      </c>
      <c r="M13" s="899">
        <f t="shared" ca="1" si="5"/>
        <v>6807849</v>
      </c>
      <c r="N13" s="899">
        <f t="shared" ca="1" si="5"/>
        <v>3993423.8</v>
      </c>
      <c r="O13" s="899">
        <f t="shared" ca="1" si="1"/>
        <v>52.270389734991198</v>
      </c>
      <c r="P13" s="899">
        <f t="shared" ca="1" si="2"/>
        <v>58.659112445061574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113800</v>
      </c>
      <c r="M14" s="893">
        <f t="shared" ca="1" si="6"/>
        <v>113800</v>
      </c>
      <c r="N14" s="893">
        <f t="shared" ca="1" si="6"/>
        <v>113800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113800</v>
      </c>
      <c r="M16" s="905">
        <f t="shared" ca="1" si="7"/>
        <v>113800</v>
      </c>
      <c r="N16" s="905">
        <f t="shared" ca="1" si="7"/>
        <v>113800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4659702</v>
      </c>
      <c r="M18" s="879">
        <f t="shared" ca="1" si="8"/>
        <v>3827616</v>
      </c>
      <c r="N18" s="879">
        <f t="shared" ca="1" si="8"/>
        <v>2757815.1</v>
      </c>
      <c r="O18" s="879">
        <f t="shared" ref="O18:O26" ca="1" si="9">IF(L18&gt;0,N18*100/L18,0)</f>
        <v>59.184366296385477</v>
      </c>
      <c r="P18" s="879">
        <f t="shared" ref="P18:P26" ca="1" si="10">IF(M18&gt;0,N18*100/M18,0)</f>
        <v>72.050464309899425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4659702</v>
      </c>
      <c r="M20" s="886">
        <f t="shared" ca="1" si="11"/>
        <v>3827616</v>
      </c>
      <c r="N20" s="886">
        <f t="shared" ca="1" si="11"/>
        <v>2757815.1</v>
      </c>
      <c r="O20" s="886">
        <f t="shared" ca="1" si="9"/>
        <v>59.184366296385477</v>
      </c>
      <c r="P20" s="886">
        <f t="shared" ca="1" si="10"/>
        <v>72.050464309899425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4545902</v>
      </c>
      <c r="M21" s="893">
        <f t="shared" ca="1" si="12"/>
        <v>3713816</v>
      </c>
      <c r="N21" s="893">
        <f t="shared" ca="1" si="12"/>
        <v>2644015.1</v>
      </c>
      <c r="O21" s="893">
        <f t="shared" ca="1" si="9"/>
        <v>58.162606672999111</v>
      </c>
      <c r="P21" s="893">
        <f t="shared" ca="1" si="10"/>
        <v>71.194025229036654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4545902</v>
      </c>
      <c r="M23" s="899">
        <f t="shared" ca="1" si="13"/>
        <v>3713816</v>
      </c>
      <c r="N23" s="899">
        <f t="shared" ca="1" si="13"/>
        <v>2644015.1</v>
      </c>
      <c r="O23" s="899">
        <f t="shared" ca="1" si="9"/>
        <v>58.162606672999111</v>
      </c>
      <c r="P23" s="899">
        <f t="shared" ca="1" si="10"/>
        <v>71.194025229036654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113800</v>
      </c>
      <c r="M24" s="893">
        <f t="shared" ca="1" si="14"/>
        <v>113800</v>
      </c>
      <c r="N24" s="893">
        <f t="shared" ca="1" si="14"/>
        <v>113800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113800</v>
      </c>
      <c r="M26" s="905">
        <f t="shared" ca="1" si="15"/>
        <v>113800</v>
      </c>
      <c r="N26" s="905">
        <f t="shared" ca="1" si="15"/>
        <v>113800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3094033</v>
      </c>
      <c r="M28" s="879">
        <f t="shared" ca="1" si="16"/>
        <v>3094033</v>
      </c>
      <c r="N28" s="879">
        <f t="shared" si="16"/>
        <v>1349408.7</v>
      </c>
      <c r="O28" s="879">
        <f t="shared" ref="O28:O37" ca="1" si="17">IF(L28&gt;0,N28*100/L28,0)</f>
        <v>43.613261397018064</v>
      </c>
      <c r="P28" s="879">
        <f t="shared" ref="P28:P37" ca="1" si="18">IF(M28&gt;0,N28*100/M28,0)</f>
        <v>43.613261397018064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3094033</v>
      </c>
      <c r="M30" s="886">
        <f t="shared" ca="1" si="19"/>
        <v>3094033</v>
      </c>
      <c r="N30" s="886">
        <f t="shared" si="19"/>
        <v>1349408.7</v>
      </c>
      <c r="O30" s="886">
        <f t="shared" ca="1" si="17"/>
        <v>43.613261397018064</v>
      </c>
      <c r="P30" s="886">
        <f t="shared" ca="1" si="18"/>
        <v>43.613261397018064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3094033</v>
      </c>
      <c r="M31" s="893">
        <f t="shared" ca="1" si="20"/>
        <v>3094033</v>
      </c>
      <c r="N31" s="893">
        <f t="shared" si="20"/>
        <v>1349408.7</v>
      </c>
      <c r="O31" s="893">
        <f t="shared" ca="1" si="17"/>
        <v>43.613261397018064</v>
      </c>
      <c r="P31" s="893">
        <f t="shared" ca="1" si="18"/>
        <v>43.613261397018064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3094033</v>
      </c>
      <c r="M33" s="899">
        <f t="shared" ca="1" si="21"/>
        <v>3094033</v>
      </c>
      <c r="N33" s="899">
        <f t="shared" si="21"/>
        <v>1349408.7</v>
      </c>
      <c r="O33" s="899">
        <f t="shared" ca="1" si="17"/>
        <v>43.613261397018064</v>
      </c>
      <c r="P33" s="899">
        <f t="shared" ca="1" si="18"/>
        <v>43.613261397018064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4659702</v>
      </c>
      <c r="M37" s="912">
        <f t="shared" ca="1" si="24"/>
        <v>3827616</v>
      </c>
      <c r="N37" s="912">
        <f t="shared" ca="1" si="24"/>
        <v>2757815.1</v>
      </c>
      <c r="O37" s="912">
        <f t="shared" ca="1" si="17"/>
        <v>59.184366296385477</v>
      </c>
      <c r="P37" s="912">
        <f t="shared" ca="1" si="18"/>
        <v>72.050464309899425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786592</v>
      </c>
      <c r="M41" s="938">
        <f t="shared" ca="1" si="25"/>
        <v>797971</v>
      </c>
      <c r="N41" s="938">
        <f t="shared" ca="1" si="25"/>
        <v>460582.23</v>
      </c>
      <c r="O41" s="938">
        <f t="shared" ref="O41:O49" ca="1" si="26">IF(L41&gt;0,N41*100/L41,0)</f>
        <v>58.554146240999145</v>
      </c>
      <c r="P41" s="938">
        <f t="shared" ref="P41:P49" ca="1" si="27">IF(M41&gt;0,N41*100/M41,0)</f>
        <v>57.719168992356863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786592</v>
      </c>
      <c r="M43" s="944">
        <f t="shared" ca="1" si="28"/>
        <v>797971</v>
      </c>
      <c r="N43" s="944">
        <f t="shared" ca="1" si="28"/>
        <v>460582.23</v>
      </c>
      <c r="O43" s="944">
        <f t="shared" ca="1" si="26"/>
        <v>58.554146240999145</v>
      </c>
      <c r="P43" s="944">
        <f t="shared" ca="1" si="27"/>
        <v>57.719168992356863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786592</v>
      </c>
      <c r="M44" s="893">
        <f t="shared" ca="1" si="29"/>
        <v>797971</v>
      </c>
      <c r="N44" s="893">
        <f t="shared" ca="1" si="29"/>
        <v>460582.23</v>
      </c>
      <c r="O44" s="893">
        <f t="shared" ca="1" si="26"/>
        <v>58.554146240999145</v>
      </c>
      <c r="P44" s="893">
        <f t="shared" ca="1" si="27"/>
        <v>57.719168992356863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IFERROR(__xludf.DUMMYFUNCTION("IMPORTRANGE(""https://docs.google.com/spreadsheets/d/1MeEWN-I1oV_STSDYn1IFDPWt_1FKiwhDph83XaGc0o0/edit?usp=sharing"",""งบพรบ!M38"")"),786592)</f>
        <v>786592</v>
      </c>
      <c r="M46" s="899">
        <f ca="1">IFERROR(__xludf.DUMMYFUNCTION("IMPORTRANGE(""https://docs.google.com/spreadsheets/d/1MeEWN-I1oV_STSDYn1IFDPWt_1FKiwhDph83XaGc0o0/edit?usp=sharing"",""งบพรบ!R38"")"),797971)</f>
        <v>797971</v>
      </c>
      <c r="N46" s="899">
        <f ca="1">IFERROR(__xludf.DUMMYFUNCTION("IMPORTRANGE(""https://docs.google.com/spreadsheets/d/1MeEWN-I1oV_STSDYn1IFDPWt_1FKiwhDph83XaGc0o0/edit?usp=sharing"",""งบพรบ!T38"")"),460582.23)</f>
        <v>460582.23</v>
      </c>
      <c r="O46" s="899">
        <f t="shared" ca="1" si="26"/>
        <v>58.554146240999145</v>
      </c>
      <c r="P46" s="899">
        <f t="shared" ca="1" si="27"/>
        <v>57.719168992356863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IFERROR(__xludf.DUMMYFUNCTION("IMPORTRANGE(""https://docs.google.com/spreadsheets/d/1MeEWN-I1oV_STSDYn1IFDPWt_1FKiwhDph83XaGc0o0/edit?usp=sharing"",""งบพรบ!P38"")"),0)</f>
        <v>0</v>
      </c>
      <c r="M49" s="905">
        <f ca="1">IFERROR(__xludf.DUMMYFUNCTION("IMPORTRANGE(""https://docs.google.com/spreadsheets/d/1MeEWN-I1oV_STSDYn1IFDPWt_1FKiwhDph83XaGc0o0/edit?usp=sharing"",""งบพรบ!S38"")"),0)</f>
        <v>0</v>
      </c>
      <c r="N49" s="905">
        <f ca="1">IFERROR(__xludf.DUMMYFUNCTION("IMPORTRANGE(""https://docs.google.com/spreadsheets/d/1MeEWN-I1oV_STSDYn1IFDPWt_1FKiwhDph83XaGc0o0/edit?usp=sharing"",""งบพรบ!U38"")"),0)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726300</v>
      </c>
      <c r="M53" s="968">
        <f t="shared" ca="1" si="31"/>
        <v>547725</v>
      </c>
      <c r="N53" s="968">
        <f t="shared" ca="1" si="31"/>
        <v>396156.73</v>
      </c>
      <c r="O53" s="968">
        <f t="shared" ref="O53:O61" ca="1" si="32">IF(L53&gt;0,N53*100/L53,0)</f>
        <v>54.544503648630041</v>
      </c>
      <c r="P53" s="968">
        <f t="shared" ref="P53:P61" ca="1" si="33">IF(M53&gt;0,N53*100/M53,0)</f>
        <v>72.327669907344017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726300</v>
      </c>
      <c r="M55" s="974">
        <f t="shared" ca="1" si="34"/>
        <v>547725</v>
      </c>
      <c r="N55" s="974">
        <f t="shared" ca="1" si="34"/>
        <v>396156.73</v>
      </c>
      <c r="O55" s="974">
        <f t="shared" ca="1" si="32"/>
        <v>54.544503648630041</v>
      </c>
      <c r="P55" s="974">
        <f t="shared" ca="1" si="33"/>
        <v>72.327669907344017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726300</v>
      </c>
      <c r="M56" s="893">
        <f t="shared" ca="1" si="35"/>
        <v>547725</v>
      </c>
      <c r="N56" s="893">
        <f t="shared" ca="1" si="35"/>
        <v>396156.73</v>
      </c>
      <c r="O56" s="893">
        <f t="shared" ca="1" si="32"/>
        <v>54.544503648630041</v>
      </c>
      <c r="P56" s="893">
        <f t="shared" ca="1" si="33"/>
        <v>72.327669907344017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IFERROR(__xludf.DUMMYFUNCTION("IMPORTRANGE(""https://docs.google.com/spreadsheets/d/1MeEWN-I1oV_STSDYn1IFDPWt_1FKiwhDph83XaGc0o0/edit?usp=sharing"",""งบพรบ!W38"")"),726300)</f>
        <v>726300</v>
      </c>
      <c r="M58" s="899">
        <f ca="1">IFERROR(__xludf.DUMMYFUNCTION("IMPORTRANGE(""https://docs.google.com/spreadsheets/d/1MeEWN-I1oV_STSDYn1IFDPWt_1FKiwhDph83XaGc0o0/edit?usp=sharing"",""งบพรบ!AB38"")"),547725)</f>
        <v>547725</v>
      </c>
      <c r="N58" s="899">
        <f ca="1">IFERROR(__xludf.DUMMYFUNCTION("IMPORTRANGE(""https://docs.google.com/spreadsheets/d/1MeEWN-I1oV_STSDYn1IFDPWt_1FKiwhDph83XaGc0o0/edit?usp=sharing"",""งบพรบ!AD38"")"),396156.73)</f>
        <v>396156.73</v>
      </c>
      <c r="O58" s="899">
        <f t="shared" ca="1" si="32"/>
        <v>54.544503648630041</v>
      </c>
      <c r="P58" s="899">
        <f t="shared" ca="1" si="33"/>
        <v>72.327669907344017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IFERROR(__xludf.DUMMYFUNCTION("IMPORTRANGE(""https://docs.google.com/spreadsheets/d/1MeEWN-I1oV_STSDYn1IFDPWt_1FKiwhDph83XaGc0o0/edit?usp=sharing"",""งบพรบ!Z38"")"),0)</f>
        <v>0</v>
      </c>
      <c r="M61" s="905">
        <f ca="1">IFERROR(__xludf.DUMMYFUNCTION("IMPORTRANGE(""https://docs.google.com/spreadsheets/d/1MeEWN-I1oV_STSDYn1IFDPWt_1FKiwhDph83XaGc0o0/edit?usp=sharing"",""งบพรบ!AC38"")"),0)</f>
        <v>0</v>
      </c>
      <c r="N61" s="905">
        <f ca="1">IFERROR(__xludf.DUMMYFUNCTION("IMPORTRANGE(""https://docs.google.com/spreadsheets/d/1MeEWN-I1oV_STSDYn1IFDPWt_1FKiwhDph83XaGc0o0/edit?usp=sharing"",""งบพรบ!AE38"")"),0)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63</v>
      </c>
      <c r="J65" s="994">
        <f t="shared" si="37"/>
        <v>63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855000</v>
      </c>
      <c r="M66" s="1004">
        <f t="shared" ca="1" si="39"/>
        <v>649320</v>
      </c>
      <c r="N66" s="1004">
        <f t="shared" ca="1" si="39"/>
        <v>521906.29</v>
      </c>
      <c r="O66" s="1004">
        <f t="shared" ref="O66:O74" ca="1" si="40">IF(L66&gt;0,N66*100/L66,0)</f>
        <v>61.041671345029236</v>
      </c>
      <c r="P66" s="1004">
        <f t="shared" ref="P66:P74" ca="1" si="41">IF(M66&gt;0,N66*100/M66,0)</f>
        <v>80.377362471508661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855000</v>
      </c>
      <c r="M68" s="899">
        <f t="shared" ca="1" si="42"/>
        <v>649320</v>
      </c>
      <c r="N68" s="899">
        <f t="shared" ca="1" si="42"/>
        <v>521906.29</v>
      </c>
      <c r="O68" s="899">
        <f t="shared" ca="1" si="40"/>
        <v>61.041671345029236</v>
      </c>
      <c r="P68" s="899">
        <f t="shared" ca="1" si="41"/>
        <v>80.377362471508661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855000</v>
      </c>
      <c r="M69" s="893">
        <f t="shared" ca="1" si="43"/>
        <v>649320</v>
      </c>
      <c r="N69" s="893">
        <f t="shared" ca="1" si="43"/>
        <v>521906.29</v>
      </c>
      <c r="O69" s="893">
        <f t="shared" ca="1" si="40"/>
        <v>61.041671345029236</v>
      </c>
      <c r="P69" s="893">
        <f t="shared" ca="1" si="41"/>
        <v>80.377362471508661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IFERROR(__xludf.DUMMYFUNCTION("IMPORTRANGE(""https://docs.google.com/spreadsheets/d/1MeEWN-I1oV_STSDYn1IFDPWt_1FKiwhDph83XaGc0o0/edit?usp=sharing"",""งบพรบ!AG38"")"),855000)</f>
        <v>855000</v>
      </c>
      <c r="M71" s="899">
        <f ca="1">IFERROR(__xludf.DUMMYFUNCTION("IMPORTRANGE(""https://docs.google.com/spreadsheets/d/1MeEWN-I1oV_STSDYn1IFDPWt_1FKiwhDph83XaGc0o0/edit?usp=sharing"",""งบพรบ!AL38"")"),649320)</f>
        <v>649320</v>
      </c>
      <c r="N71" s="899">
        <f ca="1">IFERROR(__xludf.DUMMYFUNCTION("IMPORTRANGE(""https://docs.google.com/spreadsheets/d/1MeEWN-I1oV_STSDYn1IFDPWt_1FKiwhDph83XaGc0o0/edit?usp=sharing"",""งบพรบ!AN38"")"),521906.29)</f>
        <v>521906.29</v>
      </c>
      <c r="O71" s="899">
        <f t="shared" ca="1" si="40"/>
        <v>61.041671345029236</v>
      </c>
      <c r="P71" s="899">
        <f t="shared" ca="1" si="41"/>
        <v>80.377362471508661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IFERROR(__xludf.DUMMYFUNCTION("IMPORTRANGE(""https://docs.google.com/spreadsheets/d/1MeEWN-I1oV_STSDYn1IFDPWt_1FKiwhDph83XaGc0o0/edit?usp=sharing"",""งบพรบ!AJ38"")"),0)</f>
        <v>0</v>
      </c>
      <c r="M74" s="899">
        <f ca="1">IFERROR(__xludf.DUMMYFUNCTION("IMPORTRANGE(""https://docs.google.com/spreadsheets/d/1MeEWN-I1oV_STSDYn1IFDPWt_1FKiwhDph83XaGc0o0/edit?usp=sharing"",""งบพรบ!AM38"")"),0)</f>
        <v>0</v>
      </c>
      <c r="N74" s="899">
        <f ca="1">IFERROR(__xludf.DUMMYFUNCTION("IMPORTRANGE(""https://docs.google.com/spreadsheets/d/1MeEWN-I1oV_STSDYn1IFDPWt_1FKiwhDph83XaGc0o0/edit?usp=sharing"",""งบพรบ!AO38"")"),0)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63</v>
      </c>
      <c r="J77" s="892">
        <f t="shared" si="45"/>
        <v>63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IFERROR(__xludf.DUMMYFUNCTION("IMPORTRANGE(""https://docs.google.com/spreadsheets/d/1QqKyyYR6Q21VydFLVH3TRQUabQu_ym0Zz7PgGX0-kHA/edit?usp=sharing"",""แผน!H38"")"),0)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IFERROR(__xludf.DUMMYFUNCTION("IMPORTRANGE(""https://docs.google.com/spreadsheets/d/1QqKyyYR6Q21VydFLVH3TRQUabQu_ym0Zz7PgGX0-kHA/edit?usp=sharing"",""แผน!I38"")"),0)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IFERROR(__xludf.DUMMYFUNCTION("IMPORTRANGE(""https://docs.google.com/spreadsheets/d/1QqKyyYR6Q21VydFLVH3TRQUabQu_ym0Zz7PgGX0-kHA/edit?usp=sharing"",""แผน!F38"")"),1)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IFERROR(__xludf.DUMMYFUNCTION("IMPORTRANGE(""https://docs.google.com/spreadsheets/d/1QqKyyYR6Q21VydFLVH3TRQUabQu_ym0Zz7PgGX0-kHA/edit?usp=sharing"",""แผน!G38"")"),63)</f>
        <v>63</v>
      </c>
      <c r="J81" s="1024">
        <v>63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IFERROR(__xludf.DUMMYFUNCTION("IMPORTRANGE(""https://docs.google.com/spreadsheets/d/1QqKyyYR6Q21VydFLVH3TRQUabQu_ym0Zz7PgGX0-kHA/edit?usp=sharing"",""แผน!D38"")"),0)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IFERROR(__xludf.DUMMYFUNCTION("IMPORTRANGE(""https://docs.google.com/spreadsheets/d/1QqKyyYR6Q21VydFLVH3TRQUabQu_ym0Zz7PgGX0-kHA/edit?usp=sharing"",""แผน!E38"")"),0)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IFERROR(__xludf.DUMMYFUNCTION("IMPORTRANGE(""https://docs.google.com/spreadsheets/d/1QqKyyYR6Q21VydFLVH3TRQUabQu_ym0Zz7PgGX0-kHA/edit?usp=sharing"",""แผน!J38"")"),1)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0</v>
      </c>
      <c r="J86" s="994">
        <f t="shared" si="47"/>
        <v>0</v>
      </c>
      <c r="K86" s="995">
        <f t="shared" ref="K86:K87" ca="1" si="48">IF(I86&gt;0,J86*100/I86,0)</f>
        <v>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0</v>
      </c>
      <c r="J87" s="994">
        <f t="shared" si="47"/>
        <v>0</v>
      </c>
      <c r="K87" s="995">
        <f t="shared" ca="1" si="48"/>
        <v>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31200</v>
      </c>
      <c r="M88" s="1004">
        <f t="shared" ca="1" si="49"/>
        <v>29350</v>
      </c>
      <c r="N88" s="1004">
        <f t="shared" ca="1" si="49"/>
        <v>29065</v>
      </c>
      <c r="O88" s="1004">
        <f t="shared" ref="O88:O96" ca="1" si="50">IF(L88&gt;0,N88*100/L88,0)</f>
        <v>93.157051282051285</v>
      </c>
      <c r="P88" s="1004">
        <f t="shared" ref="P88:P96" ca="1" si="51">IF(M88&gt;0,N88*100/M88,0)</f>
        <v>99.028960817717206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31200</v>
      </c>
      <c r="M90" s="899">
        <f t="shared" ca="1" si="52"/>
        <v>29350</v>
      </c>
      <c r="N90" s="899">
        <f t="shared" ca="1" si="52"/>
        <v>29065</v>
      </c>
      <c r="O90" s="899">
        <f t="shared" ca="1" si="50"/>
        <v>93.157051282051285</v>
      </c>
      <c r="P90" s="899">
        <f t="shared" ca="1" si="51"/>
        <v>99.028960817717206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31200</v>
      </c>
      <c r="M91" s="893">
        <f t="shared" ca="1" si="53"/>
        <v>29350</v>
      </c>
      <c r="N91" s="893">
        <f t="shared" ca="1" si="53"/>
        <v>29065</v>
      </c>
      <c r="O91" s="893">
        <f t="shared" ca="1" si="50"/>
        <v>93.157051282051285</v>
      </c>
      <c r="P91" s="893">
        <f t="shared" ca="1" si="51"/>
        <v>99.028960817717206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IFERROR(__xludf.DUMMYFUNCTION("IMPORTRANGE(""https://docs.google.com/spreadsheets/d/1MeEWN-I1oV_STSDYn1IFDPWt_1FKiwhDph83XaGc0o0/edit?usp=sharing"",""งบพรบ!AQ38"")"),31200)</f>
        <v>31200</v>
      </c>
      <c r="M93" s="899">
        <f ca="1">IFERROR(__xludf.DUMMYFUNCTION("IMPORTRANGE(""https://docs.google.com/spreadsheets/d/1MeEWN-I1oV_STSDYn1IFDPWt_1FKiwhDph83XaGc0o0/edit?usp=sharing"",""งบพรบ!AV38"")"),29350)</f>
        <v>29350</v>
      </c>
      <c r="N93" s="899">
        <f ca="1">IFERROR(__xludf.DUMMYFUNCTION("IMPORTRANGE(""https://docs.google.com/spreadsheets/d/1MeEWN-I1oV_STSDYn1IFDPWt_1FKiwhDph83XaGc0o0/edit?usp=sharing"",""งบพรบ!AX38"")"),29065)</f>
        <v>29065</v>
      </c>
      <c r="O93" s="899">
        <f t="shared" ca="1" si="50"/>
        <v>93.157051282051285</v>
      </c>
      <c r="P93" s="899">
        <f t="shared" ca="1" si="51"/>
        <v>99.028960817717206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IFERROR(__xludf.DUMMYFUNCTION("IMPORTRANGE(""https://docs.google.com/spreadsheets/d/1MeEWN-I1oV_STSDYn1IFDPWt_1FKiwhDph83XaGc0o0/edit?usp=sharing"",""งบพรบ!AT38"")"),0)</f>
        <v>0</v>
      </c>
      <c r="M96" s="899">
        <f ca="1">IFERROR(__xludf.DUMMYFUNCTION("IMPORTRANGE(""https://docs.google.com/spreadsheets/d/1MeEWN-I1oV_STSDYn1IFDPWt_1FKiwhDph83XaGc0o0/edit?usp=sharing"",""งบพรบ!AW38"")"),0)</f>
        <v>0</v>
      </c>
      <c r="N96" s="899">
        <f ca="1">IFERROR(__xludf.DUMMYFUNCTION("IMPORTRANGE(""https://docs.google.com/spreadsheets/d/1MeEWN-I1oV_STSDYn1IFDPWt_1FKiwhDph83XaGc0o0/edit?usp=sharing"",""งบพรบ!AY38"")"),0)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IFERROR(__xludf.DUMMYFUNCTION("IMPORTRANGE(""https://docs.google.com/spreadsheets/d/1QqKyyYR6Q21VydFLVH3TRQUabQu_ym0Zz7PgGX0-kHA/edit?usp=sharing"",""แผน!K38"")"),0)</f>
        <v>0</v>
      </c>
      <c r="J98" s="892">
        <f>J102</f>
        <v>0</v>
      </c>
      <c r="K98" s="893">
        <f t="shared" ref="K98:K100" ca="1" si="55">IF(I98&gt;0,J98*100/I98,0)</f>
        <v>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IFERROR(__xludf.DUMMYFUNCTION("IMPORTRANGE(""https://docs.google.com/spreadsheets/d/1QqKyyYR6Q21VydFLVH3TRQUabQu_ym0Zz7PgGX0-kHA/edit?usp=sharing"",""แผน!L38"")"),0)</f>
        <v>0</v>
      </c>
      <c r="J99" s="892">
        <f>J104</f>
        <v>0</v>
      </c>
      <c r="K99" s="893">
        <f t="shared" ca="1" si="55"/>
        <v>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IFERROR(__xludf.DUMMYFUNCTION("IMPORTRANGE(""https://docs.google.com/spreadsheets/d/1QqKyyYR6Q21VydFLVH3TRQUabQu_ym0Zz7PgGX0-kHA/edit?usp=sharing"",""แผน!M38"")"),1)</f>
        <v>1</v>
      </c>
      <c r="J100" s="892">
        <f>J107+J110</f>
        <v>1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IFERROR(__xludf.DUMMYFUNCTION("IMPORTRANGE(""https://docs.google.com/spreadsheets/d/1QqKyyYR6Q21VydFLVH3TRQUabQu_ym0Zz7PgGX0-kHA/edit?usp=sharing"",""แผน!N38"")"),0)</f>
        <v>0</v>
      </c>
      <c r="J102" s="1024">
        <v>0</v>
      </c>
      <c r="K102" s="893">
        <f t="shared" ref="K102:K104" ca="1" si="56">IF(I102&gt;0,J102*100/I102,0)</f>
        <v>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IFERROR(__xludf.DUMMYFUNCTION("IMPORTRANGE(""https://docs.google.com/spreadsheets/d/1QqKyyYR6Q21VydFLVH3TRQUabQu_ym0Zz7PgGX0-kHA/edit?usp=sharing"",""แผน!O38"")"),0)</f>
        <v>0</v>
      </c>
      <c r="J103" s="1024">
        <v>0</v>
      </c>
      <c r="K103" s="893">
        <f t="shared" ca="1" si="56"/>
        <v>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IFERROR(__xludf.DUMMYFUNCTION("IMPORTRANGE(""https://docs.google.com/spreadsheets/d/1QqKyyYR6Q21VydFLVH3TRQUabQu_ym0Zz7PgGX0-kHA/edit?usp=sharing"",""แผน!O38"")"),0)</f>
        <v>0</v>
      </c>
      <c r="J104" s="1024">
        <v>0</v>
      </c>
      <c r="K104" s="893">
        <f t="shared" ca="1" si="56"/>
        <v>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IFERROR(__xludf.DUMMYFUNCTION("IMPORTRANGE(""https://docs.google.com/spreadsheets/d/1QqKyyYR6Q21VydFLVH3TRQUabQu_ym0Zz7PgGX0-kHA/edit?usp=sharing"",""แผน!P38"")"),0)</f>
        <v>0</v>
      </c>
      <c r="J106" s="1024">
        <v>0</v>
      </c>
      <c r="K106" s="893">
        <f t="shared" ref="K106:K107" ca="1" si="57">IF(I106&gt;0,J106*100/I106,0)</f>
        <v>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IFERROR(__xludf.DUMMYFUNCTION("IMPORTRANGE(""https://docs.google.com/spreadsheets/d/1QqKyyYR6Q21VydFLVH3TRQUabQu_ym0Zz7PgGX0-kHA/edit?usp=sharing"",""แผน!P38"")"),0)</f>
        <v>0</v>
      </c>
      <c r="J107" s="1024">
        <v>0</v>
      </c>
      <c r="K107" s="893">
        <f t="shared" ca="1" si="57"/>
        <v>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IFERROR(__xludf.DUMMYFUNCTION("IMPORTRANGE(""https://docs.google.com/spreadsheets/d/1QqKyyYR6Q21VydFLVH3TRQUabQu_ym0Zz7PgGX0-kHA/edit?usp=sharing"",""แผน!Q38"")"),1)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IFERROR(__xludf.DUMMYFUNCTION("IMPORTRANGE(""https://docs.google.com/spreadsheets/d/1QqKyyYR6Q21VydFLVH3TRQUabQu_ym0Zz7PgGX0-kHA/edit?usp=sharing"",""แผน!Q38"")"),1)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IFERROR(__xludf.DUMMYFUNCTION("IMPORTRANGE(""https://docs.google.com/spreadsheets/d/1QqKyyYR6Q21VydFLVH3TRQUabQu_ym0Zz7PgGX0-kHA/edit?usp=sharing"",""แผน!R38"")"),0)</f>
        <v>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1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IFERROR(__xludf.DUMMYFUNCTION("IMPORTRANGE(""https://docs.google.com/spreadsheets/d/1QqKyyYR6Q21VydFLVH3TRQUabQu_ym0Zz7PgGX0-kHA/edit?usp=sharing"",""แผน!R38"")"),0)</f>
        <v>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IFERROR(__xludf.DUMMYFUNCTION("IMPORTRANGE(""https://docs.google.com/spreadsheets/d/1QqKyyYR6Q21VydFLVH3TRQUabQu_ym0Zz7PgGX0-kHA/edit?usp=sharing"",""แผน!R38"")"),0)</f>
        <v>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IFERROR(__xludf.DUMMYFUNCTION("IMPORTRANGE(""https://docs.google.com/spreadsheets/d/1QqKyyYR6Q21VydFLVH3TRQUabQu_ym0Zz7PgGX0-kHA/edit?usp=sharing"",""แผน!S38"")"),0)</f>
        <v>0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IFERROR(__xludf.DUMMYFUNCTION("IMPORTRANGE(""https://docs.google.com/spreadsheets/d/1QqKyyYR6Q21VydFLVH3TRQUabQu_ym0Zz7PgGX0-kHA/edit?usp=sharing"",""แผน!T38"")"),1)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IFERROR(__xludf.DUMMYFUNCTION("IMPORTRANGE(""https://docs.google.com/spreadsheets/d/1MeEWN-I1oV_STSDYn1IFDPWt_1FKiwhDph83XaGc0o0/edit?usp=sharing"",""งบพรบ!BA38"")"),0)</f>
        <v>0</v>
      </c>
      <c r="M124" s="899">
        <f ca="1">IFERROR(__xludf.DUMMYFUNCTION("IMPORTRANGE(""https://docs.google.com/spreadsheets/d/1MeEWN-I1oV_STSDYn1IFDPWt_1FKiwhDph83XaGc0o0/edit?usp=sharing"",""งบพรบ!BF38"")"),0)</f>
        <v>0</v>
      </c>
      <c r="N124" s="899">
        <f ca="1">IFERROR(__xludf.DUMMYFUNCTION("IMPORTRANGE(""https://docs.google.com/spreadsheets/d/1MeEWN-I1oV_STSDYn1IFDPWt_1FKiwhDph83XaGc0o0/edit?usp=sharing"",""งบพรบ!BH38"")"),0)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IFERROR(__xludf.DUMMYFUNCTION("IMPORTRANGE(""https://docs.google.com/spreadsheets/d/1MeEWN-I1oV_STSDYn1IFDPWt_1FKiwhDph83XaGc0o0/edit?usp=sharing"",""งบพรบ!BD38"")"),0)</f>
        <v>0</v>
      </c>
      <c r="M127" s="899">
        <f ca="1">IFERROR(__xludf.DUMMYFUNCTION("IMPORTRANGE(""https://docs.google.com/spreadsheets/d/1MeEWN-I1oV_STSDYn1IFDPWt_1FKiwhDph83XaGc0o0/edit?usp=sharing"",""งบพรบ!BG38"")"),0)</f>
        <v>0</v>
      </c>
      <c r="N127" s="899">
        <f ca="1">IFERROR(__xludf.DUMMYFUNCTION("IMPORTRANGE(""https://docs.google.com/spreadsheets/d/1MeEWN-I1oV_STSDYn1IFDPWt_1FKiwhDph83XaGc0o0/edit?usp=sharing"",""งบพรบ!BI38"")"),0)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IFERROR(__xludf.DUMMYFUNCTION("IMPORTRANGE(""https://docs.google.com/spreadsheets/d/1MeEWN-I1oV_STSDYn1IFDPWt_1FKiwhDph83XaGc0o0/edit?usp=sharing"",""งบพรบ!BK38"")"),0)</f>
        <v>0</v>
      </c>
      <c r="M137" s="899">
        <f ca="1">IFERROR(__xludf.DUMMYFUNCTION("IMPORTRANGE(""https://docs.google.com/spreadsheets/d/1MeEWN-I1oV_STSDYn1IFDPWt_1FKiwhDph83XaGc0o0/edit?usp=sharing"",""งบพรบ!BP38"")"),0)</f>
        <v>0</v>
      </c>
      <c r="N137" s="899">
        <f ca="1">IFERROR(__xludf.DUMMYFUNCTION("IMPORTRANGE(""https://docs.google.com/spreadsheets/d/1MeEWN-I1oV_STSDYn1IFDPWt_1FKiwhDph83XaGc0o0/edit?usp=sharing"",""งบพรบ!BR38"")"),0)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IFERROR(__xludf.DUMMYFUNCTION("IMPORTRANGE(""https://docs.google.com/spreadsheets/d/1MeEWN-I1oV_STSDYn1IFDPWt_1FKiwhDph83XaGc0o0/edit?usp=sharing"",""งบพรบ!BN38"")"),0)</f>
        <v>0</v>
      </c>
      <c r="M140" s="899">
        <f ca="1">IFERROR(__xludf.DUMMYFUNCTION("IMPORTRANGE(""https://docs.google.com/spreadsheets/d/1MeEWN-I1oV_STSDYn1IFDPWt_1FKiwhDph83XaGc0o0/edit?usp=sharing"",""งบพรบ!BQ38"")"),0)</f>
        <v>0</v>
      </c>
      <c r="N140" s="899">
        <f ca="1">IFERROR(__xludf.DUMMYFUNCTION("IMPORTRANGE(""https://docs.google.com/spreadsheets/d/1MeEWN-I1oV_STSDYn1IFDPWt_1FKiwhDph83XaGc0o0/edit?usp=sharing"",""งบพรบ!BS38"")"),0)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IFERROR(__xludf.DUMMYFUNCTION("IMPORTRANGE(""https://docs.google.com/spreadsheets/d/1QqKyyYR6Q21VydFLVH3TRQUabQu_ym0Zz7PgGX0-kHA/edit?usp=sharing"",""แผน!U38"")"),0)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IFERROR(__xludf.DUMMYFUNCTION("IMPORTRANGE(""https://docs.google.com/spreadsheets/d/1QqKyyYR6Q21VydFLVH3TRQUabQu_ym0Zz7PgGX0-kHA/edit?usp=sharing"",""แผน!V38"")"),0)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IFERROR(__xludf.DUMMYFUNCTION("IMPORTRANGE(""https://docs.google.com/spreadsheets/d/1QqKyyYR6Q21VydFLVH3TRQUabQu_ym0Zz7PgGX0-kHA/edit?usp=sharing"",""แผน!W38"")"),0)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20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16720</v>
      </c>
      <c r="N149" s="1004">
        <f t="shared" ca="1" si="77"/>
        <v>14469</v>
      </c>
      <c r="O149" s="1004">
        <f t="shared" ref="O149:O157" ca="1" si="78">IF(L149&gt;0,N149*100/L149,0)</f>
        <v>144.69</v>
      </c>
      <c r="P149" s="1004">
        <f t="shared" ref="P149:P157" ca="1" si="79">IF(M149&gt;0,N149*100/M149,0)</f>
        <v>86.537081339712913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16720</v>
      </c>
      <c r="N151" s="899">
        <f t="shared" ca="1" si="80"/>
        <v>14469</v>
      </c>
      <c r="O151" s="899">
        <f t="shared" ca="1" si="78"/>
        <v>144.69</v>
      </c>
      <c r="P151" s="899">
        <f t="shared" ca="1" si="79"/>
        <v>86.537081339712913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16720</v>
      </c>
      <c r="N152" s="893">
        <f t="shared" ca="1" si="81"/>
        <v>14469</v>
      </c>
      <c r="O152" s="893">
        <f t="shared" ca="1" si="78"/>
        <v>144.69</v>
      </c>
      <c r="P152" s="893">
        <f t="shared" ca="1" si="79"/>
        <v>86.537081339712913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IFERROR(__xludf.DUMMYFUNCTION("IMPORTRANGE(""https://docs.google.com/spreadsheets/d/1MeEWN-I1oV_STSDYn1IFDPWt_1FKiwhDph83XaGc0o0/edit?usp=sharing"",""งบพรบ!BU38"")"),10000)</f>
        <v>10000</v>
      </c>
      <c r="M154" s="899">
        <f ca="1">IFERROR(__xludf.DUMMYFUNCTION("IMPORTRANGE(""https://docs.google.com/spreadsheets/d/1MeEWN-I1oV_STSDYn1IFDPWt_1FKiwhDph83XaGc0o0/edit?usp=sharing"",""งบพรบ!BZ38"")"),16720)</f>
        <v>16720</v>
      </c>
      <c r="N154" s="899">
        <f ca="1">IFERROR(__xludf.DUMMYFUNCTION("IMPORTRANGE(""https://docs.google.com/spreadsheets/d/1MeEWN-I1oV_STSDYn1IFDPWt_1FKiwhDph83XaGc0o0/edit?usp=sharing"",""งบพรบ!CB38"")"),14469)</f>
        <v>14469</v>
      </c>
      <c r="O154" s="899">
        <f t="shared" ca="1" si="78"/>
        <v>144.69</v>
      </c>
      <c r="P154" s="899">
        <f t="shared" ca="1" si="79"/>
        <v>86.537081339712913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IFERROR(__xludf.DUMMYFUNCTION("IMPORTRANGE(""https://docs.google.com/spreadsheets/d/1MeEWN-I1oV_STSDYn1IFDPWt_1FKiwhDph83XaGc0o0/edit?usp=sharing"",""งบพรบ!BX38"")"),0)</f>
        <v>0</v>
      </c>
      <c r="M157" s="899">
        <f ca="1">IFERROR(__xludf.DUMMYFUNCTION("IMPORTRANGE(""https://docs.google.com/spreadsheets/d/1MeEWN-I1oV_STSDYn1IFDPWt_1FKiwhDph83XaGc0o0/edit?usp=sharing"",""งบพรบ!CA38"")"),0)</f>
        <v>0</v>
      </c>
      <c r="N157" s="899">
        <f ca="1">IFERROR(__xludf.DUMMYFUNCTION("IMPORTRANGE(""https://docs.google.com/spreadsheets/d/1MeEWN-I1oV_STSDYn1IFDPWt_1FKiwhDph83XaGc0o0/edit?usp=sharing"",""งบพรบ!CC38"")"),0)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IFERROR(__xludf.DUMMYFUNCTION("IMPORTRANGE(""https://docs.google.com/spreadsheets/d/1QqKyyYR6Q21VydFLVH3TRQUabQu_ym0Zz7PgGX0-kHA/edit?usp=sharing"",""แผน!X38"")"),20)</f>
        <v>20</v>
      </c>
      <c r="J159" s="1024">
        <v>20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10</v>
      </c>
      <c r="J164" s="1073">
        <f t="shared" si="83"/>
        <v>10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21050</v>
      </c>
      <c r="M165" s="1004">
        <f t="shared" ca="1" si="84"/>
        <v>21050</v>
      </c>
      <c r="N165" s="1004">
        <f t="shared" ca="1" si="84"/>
        <v>19857</v>
      </c>
      <c r="O165" s="1004">
        <f t="shared" ref="O165:O173" ca="1" si="85">IF(L165&gt;0,N165*100/L165,0)</f>
        <v>94.332541567695955</v>
      </c>
      <c r="P165" s="1004">
        <f t="shared" ref="P165:P173" ca="1" si="86">IF(M165&gt;0,N165*100/M165,0)</f>
        <v>94.332541567695955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21050</v>
      </c>
      <c r="M167" s="899">
        <f t="shared" ca="1" si="87"/>
        <v>21050</v>
      </c>
      <c r="N167" s="899">
        <f t="shared" ca="1" si="87"/>
        <v>19857</v>
      </c>
      <c r="O167" s="899">
        <f t="shared" ca="1" si="85"/>
        <v>94.332541567695955</v>
      </c>
      <c r="P167" s="899">
        <f t="shared" ca="1" si="86"/>
        <v>94.332541567695955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21050</v>
      </c>
      <c r="M168" s="893">
        <f t="shared" ca="1" si="88"/>
        <v>21050</v>
      </c>
      <c r="N168" s="893">
        <f t="shared" ca="1" si="88"/>
        <v>19857</v>
      </c>
      <c r="O168" s="893">
        <f t="shared" ca="1" si="85"/>
        <v>94.332541567695955</v>
      </c>
      <c r="P168" s="893">
        <f t="shared" ca="1" si="86"/>
        <v>94.332541567695955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IFERROR(__xludf.DUMMYFUNCTION("IMPORTRANGE(""https://docs.google.com/spreadsheets/d/1MeEWN-I1oV_STSDYn1IFDPWt_1FKiwhDph83XaGc0o0/edit?usp=sharing"",""งบพรบ!CE38"")"),21050)</f>
        <v>21050</v>
      </c>
      <c r="M170" s="899">
        <f ca="1">IFERROR(__xludf.DUMMYFUNCTION("IMPORTRANGE(""https://docs.google.com/spreadsheets/d/1MeEWN-I1oV_STSDYn1IFDPWt_1FKiwhDph83XaGc0o0/edit?usp=sharing"",""งบพรบ!CJ38"")"),21050)</f>
        <v>21050</v>
      </c>
      <c r="N170" s="899">
        <f ca="1">IFERROR(__xludf.DUMMYFUNCTION("IMPORTRANGE(""https://docs.google.com/spreadsheets/d/1MeEWN-I1oV_STSDYn1IFDPWt_1FKiwhDph83XaGc0o0/edit?usp=sharing"",""งบพรบ!CL38"")"),19857)</f>
        <v>19857</v>
      </c>
      <c r="O170" s="899">
        <f t="shared" ca="1" si="85"/>
        <v>94.332541567695955</v>
      </c>
      <c r="P170" s="899">
        <f t="shared" ca="1" si="86"/>
        <v>94.332541567695955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IFERROR(__xludf.DUMMYFUNCTION("IMPORTRANGE(""https://docs.google.com/spreadsheets/d/1MeEWN-I1oV_STSDYn1IFDPWt_1FKiwhDph83XaGc0o0/edit?usp=sharing"",""งบพรบ!CH38"")"),0)</f>
        <v>0</v>
      </c>
      <c r="M173" s="899">
        <f ca="1">IFERROR(__xludf.DUMMYFUNCTION("IMPORTRANGE(""https://docs.google.com/spreadsheets/d/1MeEWN-I1oV_STSDYn1IFDPWt_1FKiwhDph83XaGc0o0/edit?usp=sharing"",""งบพรบ!CK38"")"),0)</f>
        <v>0</v>
      </c>
      <c r="N173" s="899">
        <f ca="1">IFERROR(__xludf.DUMMYFUNCTION("IMPORTRANGE(""https://docs.google.com/spreadsheets/d/1MeEWN-I1oV_STSDYn1IFDPWt_1FKiwhDph83XaGc0o0/edit?usp=sharing"",""งบพรบ!CM38"")"),0)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10</v>
      </c>
      <c r="J174" s="1080">
        <f t="shared" si="90"/>
        <v>10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IFERROR(__xludf.DUMMYFUNCTION("IMPORTRANGE(""https://docs.google.com/spreadsheets/d/1QqKyyYR6Q21VydFLVH3TRQUabQu_ym0Zz7PgGX0-kHA/edit?usp=sharing"",""แผน!Y38"")"),10)</f>
        <v>10</v>
      </c>
      <c r="J176" s="1024">
        <v>10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90000</v>
      </c>
      <c r="M181" s="1004">
        <f t="shared" ca="1" si="92"/>
        <v>63500</v>
      </c>
      <c r="N181" s="1004">
        <f t="shared" ca="1" si="92"/>
        <v>54600</v>
      </c>
      <c r="O181" s="1004">
        <f t="shared" ref="O181:O189" ca="1" si="93">IF(L181&gt;0,N181*100/L181,0)</f>
        <v>60.666666666666664</v>
      </c>
      <c r="P181" s="1004">
        <f t="shared" ref="P181:P189" ca="1" si="94">IF(M181&gt;0,N181*100/M181,0)</f>
        <v>85.984251968503941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90000</v>
      </c>
      <c r="M183" s="899">
        <f t="shared" ca="1" si="95"/>
        <v>63500</v>
      </c>
      <c r="N183" s="899">
        <f t="shared" ca="1" si="95"/>
        <v>54600</v>
      </c>
      <c r="O183" s="899">
        <f t="shared" ca="1" si="93"/>
        <v>60.666666666666664</v>
      </c>
      <c r="P183" s="899">
        <f t="shared" ca="1" si="94"/>
        <v>85.984251968503941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90000</v>
      </c>
      <c r="M184" s="893">
        <f t="shared" ca="1" si="96"/>
        <v>63500</v>
      </c>
      <c r="N184" s="893">
        <f t="shared" ca="1" si="96"/>
        <v>54600</v>
      </c>
      <c r="O184" s="893">
        <f t="shared" ca="1" si="93"/>
        <v>60.666666666666664</v>
      </c>
      <c r="P184" s="893">
        <f t="shared" ca="1" si="94"/>
        <v>85.984251968503941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IFERROR(__xludf.DUMMYFUNCTION("IMPORTRANGE(""https://docs.google.com/spreadsheets/d/1MeEWN-I1oV_STSDYn1IFDPWt_1FKiwhDph83XaGc0o0/edit?usp=sharing"",""งบพรบ!CO38"")"),90000)</f>
        <v>90000</v>
      </c>
      <c r="M186" s="899">
        <f ca="1">IFERROR(__xludf.DUMMYFUNCTION("IMPORTRANGE(""https://docs.google.com/spreadsheets/d/1MeEWN-I1oV_STSDYn1IFDPWt_1FKiwhDph83XaGc0o0/edit?usp=sharing"",""งบพรบ!CT38"")"),63500)</f>
        <v>63500</v>
      </c>
      <c r="N186" s="899">
        <f ca="1">IFERROR(__xludf.DUMMYFUNCTION("IMPORTRANGE(""https://docs.google.com/spreadsheets/d/1MeEWN-I1oV_STSDYn1IFDPWt_1FKiwhDph83XaGc0o0/edit?usp=sharing"",""งบพรบ!CV38"")"),54600)</f>
        <v>54600</v>
      </c>
      <c r="O186" s="899">
        <f t="shared" ca="1" si="93"/>
        <v>60.666666666666664</v>
      </c>
      <c r="P186" s="899">
        <f t="shared" ca="1" si="94"/>
        <v>85.984251968503941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IFERROR(__xludf.DUMMYFUNCTION("IMPORTRANGE(""https://docs.google.com/spreadsheets/d/1MeEWN-I1oV_STSDYn1IFDPWt_1FKiwhDph83XaGc0o0/edit?usp=sharing"",""งบพรบ!CR38"")"),0)</f>
        <v>0</v>
      </c>
      <c r="M189" s="899">
        <f ca="1">IFERROR(__xludf.DUMMYFUNCTION("IMPORTRANGE(""https://docs.google.com/spreadsheets/d/1MeEWN-I1oV_STSDYn1IFDPWt_1FKiwhDph83XaGc0o0/edit?usp=sharing"",""งบพรบ!CU38"")"),0)</f>
        <v>0</v>
      </c>
      <c r="N189" s="899">
        <f ca="1">IFERROR(__xludf.DUMMYFUNCTION("IMPORTRANGE(""https://docs.google.com/spreadsheets/d/1MeEWN-I1oV_STSDYn1IFDPWt_1FKiwhDph83XaGc0o0/edit?usp=sharing"",""งบพรบ!CW38"")"),0)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IFERROR(__xludf.DUMMYFUNCTION("IMPORTRANGE(""https://docs.google.com/spreadsheets/d/1QqKyyYR6Q21VydFLVH3TRQUabQu_ym0Zz7PgGX0-kHA/edit?usp=sharing"",""แผน!Z38"")"),6000)</f>
        <v>6000</v>
      </c>
      <c r="M191" s="1004"/>
      <c r="N191" s="1092">
        <v>2760</v>
      </c>
      <c r="O191" s="1004">
        <f ca="1">IF(L191&gt;0,N191*100/L191,0)</f>
        <v>46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IFERROR(__xludf.DUMMYFUNCTION("IMPORTRANGE(""https://docs.google.com/spreadsheets/d/1QqKyyYR6Q21VydFLVH3TRQUabQu_ym0Zz7PgGX0-kHA/edit?usp=sharing"",""แผน!AC38"")"),4)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80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80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38840</v>
      </c>
      <c r="O198" s="1004">
        <f ca="1">IF(L198&gt;0,N198*100/L198,0)</f>
        <v>99.589743589743591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IFERROR(__xludf.DUMMYFUNCTION("IMPORTRANGE(""https://docs.google.com/spreadsheets/d/1QqKyyYR6Q21VydFLVH3TRQUabQu_ym0Zz7PgGX0-kHA/edit?usp=sharing"",""แผน!AE38"")"),3000)</f>
        <v>3000</v>
      </c>
      <c r="M199" s="893"/>
      <c r="N199" s="1096">
        <v>2840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IFERROR(__xludf.DUMMYFUNCTION("IMPORTRANGE(""https://docs.google.com/spreadsheets/d/1QqKyyYR6Q21VydFLVH3TRQUabQu_ym0Zz7PgGX0-kHA/edit?usp=sharing"",""แผน!AF38"")"),24000)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IFERROR(__xludf.DUMMYFUNCTION("IMPORTRANGE(""https://docs.google.com/spreadsheets/d/1QqKyyYR6Q21VydFLVH3TRQUabQu_ym0Zz7PgGX0-kHA/edit?usp=sharing"",""แผน!AG38"")"),12000)</f>
        <v>12000</v>
      </c>
      <c r="M201" s="893"/>
      <c r="N201" s="1096">
        <v>12000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IFERROR(__xludf.DUMMYFUNCTION("IMPORTRANGE(""https://docs.google.com/spreadsheets/d/1QqKyyYR6Q21VydFLVH3TRQUabQu_ym0Zz7PgGX0-kHA/edit?usp=sharing"",""แผน!AH38"")"),0)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IFERROR(__xludf.DUMMYFUNCTION("IMPORTRANGE(""https://docs.google.com/spreadsheets/d/1QqKyyYR6Q21VydFLVH3TRQUabQu_ym0Zz7PgGX0-kHA/edit?usp=sharing"",""แผน!AI38"")"),3)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13000</v>
      </c>
      <c r="O209" s="1004">
        <f ca="1">IF(L209&gt;0,N209*100/L209,0)</f>
        <v>92.857142857142861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IFERROR(__xludf.DUMMYFUNCTION("IMPORTRANGE(""https://docs.google.com/spreadsheets/d/1QqKyyYR6Q21VydFLVH3TRQUabQu_ym0Zz7PgGX0-kHA/edit?usp=sharing"",""แผน!AK38"")"),1000)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IFERROR(__xludf.DUMMYFUNCTION("IMPORTRANGE(""https://docs.google.com/spreadsheets/d/1QqKyyYR6Q21VydFLVH3TRQUabQu_ym0Zz7PgGX0-kHA/edit?usp=sharing"",""แผน!AL38"")"),5000)</f>
        <v>5000</v>
      </c>
      <c r="M211" s="893"/>
      <c r="N211" s="1096">
        <v>5000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IFERROR(__xludf.DUMMYFUNCTION("IMPORTRANGE(""https://docs.google.com/spreadsheets/d/1QqKyyYR6Q21VydFLVH3TRQUabQu_ym0Zz7PgGX0-kHA/edit?usp=sharing"",""แผน!AM38"")"),8000)</f>
        <v>8000</v>
      </c>
      <c r="M212" s="893"/>
      <c r="N212" s="1096">
        <v>8000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IFERROR(__xludf.DUMMYFUNCTION("IMPORTRANGE(""https://docs.google.com/spreadsheets/d/1QqKyyYR6Q21VydFLVH3TRQUabQu_ym0Zz7PgGX0-kHA/edit?usp=sharing"",""แผน!AN38"")"),1)</f>
        <v>1</v>
      </c>
      <c r="J214" s="1024">
        <v>1</v>
      </c>
      <c r="K214" s="893">
        <f t="shared" ref="K214:K216" ca="1" si="102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IFERROR(__xludf.DUMMYFUNCTION("IMPORTRANGE(""https://docs.google.com/spreadsheets/d/1QqKyyYR6Q21VydFLVH3TRQUabQu_ym0Zz7PgGX0-kHA/edit?usp=sharing"",""แผน!AN38"")"),1)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100000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31000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IFERROR(__xludf.DUMMYFUNCTION("IMPORTRANGE(""https://docs.google.com/spreadsheets/d/1QqKyyYR6Q21VydFLVH3TRQUabQu_ym0Zz7PgGX0-kHA/edit?usp=sharing"",""แผน!AP38"")"),6000)</f>
        <v>6000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IFERROR(__xludf.DUMMYFUNCTION("IMPORTRANGE(""https://docs.google.com/spreadsheets/d/1QqKyyYR6Q21VydFLVH3TRQUabQu_ym0Zz7PgGX0-kHA/edit?usp=sharing"",""แผน!AQ38"")"),25000)</f>
        <v>25000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IFERROR(__xludf.DUMMYFUNCTION("IMPORTRANGE(""https://docs.google.com/spreadsheets/d/1QqKyyYR6Q21VydFLVH3TRQUabQu_ym0Zz7PgGX0-kHA/edit?usp=sharing"",""แผน!AR38"")"),0)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IFERROR(__xludf.DUMMYFUNCTION("IMPORTRANGE(""https://docs.google.com/spreadsheets/d/1QqKyyYR6Q21VydFLVH3TRQUabQu_ym0Zz7PgGX0-kHA/edit?usp=sharing"",""แผน!AT38"")"),100000)</f>
        <v>100000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IFERROR(__xludf.DUMMYFUNCTION("IMPORTRANGE(""https://docs.google.com/spreadsheets/d/1QqKyyYR6Q21VydFLVH3TRQUabQu_ym0Zz7PgGX0-kHA/edit?usp=sharing"",""แผน!AT38"")"),100000)</f>
        <v>100000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IFERROR(__xludf.DUMMYFUNCTION("IMPORTRANGE(""https://docs.google.com/spreadsheets/d/1QqKyyYR6Q21VydFLVH3TRQUabQu_ym0Zz7PgGX0-kHA/edit?usp=sharing"",""แผน!AS38"")"),0)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IFERROR(__xludf.DUMMYFUNCTION("IMPORTRANGE(""https://docs.google.com/spreadsheets/d/1QqKyyYR6Q21VydFLVH3TRQUabQu_ym0Zz7PgGX0-kHA/edit?usp=sharing"",""แผน!AV38"")"),0)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IFERROR(__xludf.DUMMYFUNCTION("IMPORTRANGE(""https://docs.google.com/spreadsheets/d/1QqKyyYR6Q21VydFLVH3TRQUabQu_ym0Zz7PgGX0-kHA/edit?usp=sharing"",""แผน!AW38"")"),0)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IFERROR(__xludf.DUMMYFUNCTION("IMPORTRANGE(""https://docs.google.com/spreadsheets/d/1QqKyyYR6Q21VydFLVH3TRQUabQu_ym0Zz7PgGX0-kHA/edit?usp=sharing"",""แผน!AX38"")"),0)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IFERROR(__xludf.DUMMYFUNCTION("IMPORTRANGE(""https://docs.google.com/spreadsheets/d/1QqKyyYR6Q21VydFLVH3TRQUabQu_ym0Zz7PgGX0-kHA/edit?usp=sharing"",""แผน!AY38"")"),0)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IFERROR(__xludf.DUMMYFUNCTION("IMPORTRANGE(""https://docs.google.com/spreadsheets/d/1QqKyyYR6Q21VydFLVH3TRQUabQu_ym0Zz7PgGX0-kHA/edit?usp=sharing"",""แผน!BE38"")"),0)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IFERROR(__xludf.DUMMYFUNCTION("IMPORTRANGE(""https://docs.google.com/spreadsheets/d/1QqKyyYR6Q21VydFLVH3TRQUabQu_ym0Zz7PgGX0-kHA/edit?usp=sharing"",""แผน!AZ38"")"),0)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IFERROR(__xludf.DUMMYFUNCTION("IMPORTRANGE(""https://docs.google.com/spreadsheets/d/1QqKyyYR6Q21VydFLVH3TRQUabQu_ym0Zz7PgGX0-kHA/edit?usp=sharing"",""แผน!BA38"")"),0)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IFERROR(__xludf.DUMMYFUNCTION("IMPORTRANGE(""https://docs.google.com/spreadsheets/d/1QqKyyYR6Q21VydFLVH3TRQUabQu_ym0Zz7PgGX0-kHA/edit?usp=sharing"",""แผน!BB38"")"),0)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IFERROR(__xludf.DUMMYFUNCTION("IMPORTRANGE(""https://docs.google.com/spreadsheets/d/1QqKyyYR6Q21VydFLVH3TRQUabQu_ym0Zz7PgGX0-kHA/edit?usp=sharing"",""แผน!BC38"")"),0)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IFERROR(__xludf.DUMMYFUNCTION("IMPORTRANGE(""https://docs.google.com/spreadsheets/d/1QqKyyYR6Q21VydFLVH3TRQUabQu_ym0Zz7PgGX0-kHA/edit?usp=sharing"",""แผน!BF38"")"),0)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20388</v>
      </c>
      <c r="O261" s="1004">
        <f t="shared" ref="O261:O269" ca="1" si="117">IF(L261&gt;0,N261*100/L261,0)</f>
        <v>75.791821561338296</v>
      </c>
      <c r="P261" s="1004">
        <f t="shared" ref="P261:P269" ca="1" si="118">IF(M261&gt;0,N261*100/M261,0)</f>
        <v>85.305439330543933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20388</v>
      </c>
      <c r="O263" s="899">
        <f t="shared" ca="1" si="117"/>
        <v>75.791821561338296</v>
      </c>
      <c r="P263" s="899">
        <f t="shared" ca="1" si="118"/>
        <v>85.305439330543933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20388</v>
      </c>
      <c r="O264" s="893">
        <f t="shared" ca="1" si="117"/>
        <v>75.791821561338296</v>
      </c>
      <c r="P264" s="893">
        <f t="shared" ca="1" si="118"/>
        <v>85.305439330543933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IFERROR(__xludf.DUMMYFUNCTION("IMPORTRANGE(""https://docs.google.com/spreadsheets/d/1MeEWN-I1oV_STSDYn1IFDPWt_1FKiwhDph83XaGc0o0/edit?usp=sharing"",""งบพรบ!CY38"")"),26900)</f>
        <v>26900</v>
      </c>
      <c r="M266" s="899">
        <f ca="1">IFERROR(__xludf.DUMMYFUNCTION("IMPORTRANGE(""https://docs.google.com/spreadsheets/d/1MeEWN-I1oV_STSDYn1IFDPWt_1FKiwhDph83XaGc0o0/edit?usp=sharing"",""งบพรบ!DD38"")"),23900)</f>
        <v>23900</v>
      </c>
      <c r="N266" s="899">
        <f ca="1">IFERROR(__xludf.DUMMYFUNCTION("IMPORTRANGE(""https://docs.google.com/spreadsheets/d/1MeEWN-I1oV_STSDYn1IFDPWt_1FKiwhDph83XaGc0o0/edit?usp=sharing"",""งบพรบ!DF38"")"),20388)</f>
        <v>20388</v>
      </c>
      <c r="O266" s="899">
        <f t="shared" ca="1" si="117"/>
        <v>75.791821561338296</v>
      </c>
      <c r="P266" s="899">
        <f t="shared" ca="1" si="118"/>
        <v>85.305439330543933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IFERROR(__xludf.DUMMYFUNCTION("IMPORTRANGE(""https://docs.google.com/spreadsheets/d/1MeEWN-I1oV_STSDYn1IFDPWt_1FKiwhDph83XaGc0o0/edit?usp=sharing"",""งบพรบ!DB38"")"),0)</f>
        <v>0</v>
      </c>
      <c r="M269" s="899">
        <f ca="1">IFERROR(__xludf.DUMMYFUNCTION("IMPORTRANGE(""https://docs.google.com/spreadsheets/d/1MeEWN-I1oV_STSDYn1IFDPWt_1FKiwhDph83XaGc0o0/edit?usp=sharing"",""งบพรบ!DE38"")"),0)</f>
        <v>0</v>
      </c>
      <c r="N269" s="899">
        <f ca="1">IFERROR(__xludf.DUMMYFUNCTION("IMPORTRANGE(""https://docs.google.com/spreadsheets/d/1MeEWN-I1oV_STSDYn1IFDPWt_1FKiwhDph83XaGc0o0/edit?usp=sharing"",""งบพรบ!DG38"")"),0)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IFERROR(__xludf.DUMMYFUNCTION("IMPORTRANGE(""https://docs.google.com/spreadsheets/d/1QqKyyYR6Q21VydFLVH3TRQUabQu_ym0Zz7PgGX0-kHA/edit?usp=sharing"",""แผน!EA38"")"),22)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10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100</v>
      </c>
      <c r="J276" s="1170">
        <f t="shared" si="124"/>
        <v>100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41010</v>
      </c>
      <c r="M277" s="1004">
        <f t="shared" ca="1" si="125"/>
        <v>21950</v>
      </c>
      <c r="N277" s="1004">
        <f t="shared" ca="1" si="125"/>
        <v>14960</v>
      </c>
      <c r="O277" s="1004">
        <f t="shared" ref="O277:O285" ca="1" si="126">IF(L277&gt;0,N277*100/L277,0)</f>
        <v>36.478907583516218</v>
      </c>
      <c r="P277" s="1004">
        <f t="shared" ref="P277:P285" ca="1" si="127">IF(M277&gt;0,N277*100/M277,0)</f>
        <v>68.154897494305246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41010</v>
      </c>
      <c r="M279" s="899">
        <f t="shared" ca="1" si="128"/>
        <v>21950</v>
      </c>
      <c r="N279" s="899">
        <f t="shared" ca="1" si="128"/>
        <v>14960</v>
      </c>
      <c r="O279" s="899">
        <f t="shared" ca="1" si="126"/>
        <v>36.478907583516218</v>
      </c>
      <c r="P279" s="899">
        <f t="shared" ca="1" si="127"/>
        <v>68.154897494305246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41010</v>
      </c>
      <c r="M280" s="893">
        <f t="shared" ca="1" si="129"/>
        <v>21950</v>
      </c>
      <c r="N280" s="893">
        <f t="shared" ca="1" si="129"/>
        <v>14960</v>
      </c>
      <c r="O280" s="893">
        <f t="shared" ca="1" si="126"/>
        <v>36.478907583516218</v>
      </c>
      <c r="P280" s="893">
        <f t="shared" ca="1" si="127"/>
        <v>68.154897494305246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IFERROR(__xludf.DUMMYFUNCTION("IMPORTRANGE(""https://docs.google.com/spreadsheets/d/1MeEWN-I1oV_STSDYn1IFDPWt_1FKiwhDph83XaGc0o0/edit?usp=sharing"",""งบพรบ!DI38"")"),41010)</f>
        <v>41010</v>
      </c>
      <c r="M282" s="899">
        <f ca="1">IFERROR(__xludf.DUMMYFUNCTION("IMPORTRANGE(""https://docs.google.com/spreadsheets/d/1MeEWN-I1oV_STSDYn1IFDPWt_1FKiwhDph83XaGc0o0/edit?usp=sharing"",""งบพรบ!DN38"")"),21950)</f>
        <v>21950</v>
      </c>
      <c r="N282" s="899">
        <f ca="1">IFERROR(__xludf.DUMMYFUNCTION("IMPORTRANGE(""https://docs.google.com/spreadsheets/d/1MeEWN-I1oV_STSDYn1IFDPWt_1FKiwhDph83XaGc0o0/edit?usp=sharing"",""งบพรบ!DP38"")"),14960)</f>
        <v>14960</v>
      </c>
      <c r="O282" s="899">
        <f t="shared" ca="1" si="126"/>
        <v>36.478907583516218</v>
      </c>
      <c r="P282" s="899">
        <f t="shared" ca="1" si="127"/>
        <v>68.154897494305246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IFERROR(__xludf.DUMMYFUNCTION("IMPORTRANGE(""https://docs.google.com/spreadsheets/d/1MeEWN-I1oV_STSDYn1IFDPWt_1FKiwhDph83XaGc0o0/edit?usp=sharing"",""งบพรบ!DL38"")"),0)</f>
        <v>0</v>
      </c>
      <c r="M285" s="899">
        <f ca="1">IFERROR(__xludf.DUMMYFUNCTION("IMPORTRANGE(""https://docs.google.com/spreadsheets/d/1MeEWN-I1oV_STSDYn1IFDPWt_1FKiwhDph83XaGc0o0/edit?usp=sharing"",""งบพรบ!DO38"")"),0)</f>
        <v>0</v>
      </c>
      <c r="N285" s="899">
        <f ca="1">IFERROR(__xludf.DUMMYFUNCTION("IMPORTRANGE(""https://docs.google.com/spreadsheets/d/1MeEWN-I1oV_STSDYn1IFDPWt_1FKiwhDph83XaGc0o0/edit?usp=sharing"",""งบพรบ!DQ38"")"),0)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IFERROR(__xludf.DUMMYFUNCTION("IMPORTRANGE(""https://docs.google.com/spreadsheets/d/1QqKyyYR6Q21VydFLVH3TRQUabQu_ym0Zz7PgGX0-kHA/edit?usp=sharing"",""แผน!EC38"")"),100)</f>
        <v>100</v>
      </c>
      <c r="J287" s="1024">
        <v>100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IFERROR(__xludf.DUMMYFUNCTION("IMPORTRANGE(""https://docs.google.com/spreadsheets/d/1QqKyyYR6Q21VydFLVH3TRQUabQu_ym0Zz7PgGX0-kHA/edit?usp=sharing"",""แผน!EB38"")"),10)</f>
        <v>10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IFERROR(__xludf.DUMMYFUNCTION("IMPORTRANGE(""https://docs.google.com/spreadsheets/d/1QqKyyYR6Q21VydFLVH3TRQUabQu_ym0Zz7PgGX0-kHA/edit?usp=sharing"",""แผน!EB38"")"),10)</f>
        <v>10</v>
      </c>
      <c r="J290" s="1024">
        <v>10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IFERROR(__xludf.DUMMYFUNCTION("IMPORTRANGE(""https://docs.google.com/spreadsheets/d/1QqKyyYR6Q21VydFLVH3TRQUabQu_ym0Zz7PgGX0-kHA/edit?usp=sharing"",""แผน!EB38"")"),10)</f>
        <v>10</v>
      </c>
      <c r="J291" s="1024">
        <v>10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IFERROR(__xludf.DUMMYFUNCTION("IMPORTRANGE(""https://docs.google.com/spreadsheets/d/1QqKyyYR6Q21VydFLVH3TRQUabQu_ym0Zz7PgGX0-kHA/edit?usp=sharing"",""แผน!EB38"")"),10)</f>
        <v>10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IFERROR(__xludf.DUMMYFUNCTION("IMPORTRANGE(""https://docs.google.com/spreadsheets/d/1QqKyyYR6Q21VydFLVH3TRQUabQu_ym0Zz7PgGX0-kHA/edit?usp=sharing"",""แผน!EB38"")"),10)</f>
        <v>10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25</v>
      </c>
      <c r="J297" s="1202">
        <f t="shared" si="134"/>
        <v>25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387000</v>
      </c>
      <c r="M298" s="1004">
        <f t="shared" ca="1" si="135"/>
        <v>286500</v>
      </c>
      <c r="N298" s="1004">
        <f t="shared" ca="1" si="135"/>
        <v>200245.08</v>
      </c>
      <c r="O298" s="1004">
        <f t="shared" ref="O298:O306" ca="1" si="136">IF(L298&gt;0,N298*100/L298,0)</f>
        <v>51.742914728682173</v>
      </c>
      <c r="P298" s="1004">
        <f t="shared" ref="P298:P306" ca="1" si="137">IF(M298&gt;0,N298*100/M298,0)</f>
        <v>69.893570680628272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387000</v>
      </c>
      <c r="M300" s="899">
        <f t="shared" ca="1" si="138"/>
        <v>286500</v>
      </c>
      <c r="N300" s="899">
        <f t="shared" ca="1" si="138"/>
        <v>200245.08</v>
      </c>
      <c r="O300" s="899">
        <f t="shared" ca="1" si="136"/>
        <v>51.742914728682173</v>
      </c>
      <c r="P300" s="899">
        <f t="shared" ca="1" si="137"/>
        <v>69.893570680628272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387000</v>
      </c>
      <c r="M301" s="893">
        <f t="shared" ca="1" si="139"/>
        <v>286500</v>
      </c>
      <c r="N301" s="893">
        <f t="shared" ca="1" si="139"/>
        <v>200245.08</v>
      </c>
      <c r="O301" s="893">
        <f t="shared" ca="1" si="136"/>
        <v>51.742914728682173</v>
      </c>
      <c r="P301" s="893">
        <f t="shared" ca="1" si="137"/>
        <v>69.893570680628272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IFERROR(__xludf.DUMMYFUNCTION("IMPORTRANGE(""https://docs.google.com/spreadsheets/d/1MeEWN-I1oV_STSDYn1IFDPWt_1FKiwhDph83XaGc0o0/edit?usp=sharing"",""งบพรบ!DS38"")"),387000)</f>
        <v>387000</v>
      </c>
      <c r="M303" s="899">
        <f ca="1">IFERROR(__xludf.DUMMYFUNCTION("IMPORTRANGE(""https://docs.google.com/spreadsheets/d/1MeEWN-I1oV_STSDYn1IFDPWt_1FKiwhDph83XaGc0o0/edit?usp=sharing"",""งบพรบ!DX38"")"),286500)</f>
        <v>286500</v>
      </c>
      <c r="N303" s="899">
        <f ca="1">IFERROR(__xludf.DUMMYFUNCTION("IMPORTRANGE(""https://docs.google.com/spreadsheets/d/1MeEWN-I1oV_STSDYn1IFDPWt_1FKiwhDph83XaGc0o0/edit?usp=sharing"",""งบพรบ!DZ38"")"),200245.08)</f>
        <v>200245.08</v>
      </c>
      <c r="O303" s="899">
        <f t="shared" ca="1" si="136"/>
        <v>51.742914728682173</v>
      </c>
      <c r="P303" s="899">
        <f t="shared" ca="1" si="137"/>
        <v>69.893570680628272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IFERROR(__xludf.DUMMYFUNCTION("IMPORTRANGE(""https://docs.google.com/spreadsheets/d/1MeEWN-I1oV_STSDYn1IFDPWt_1FKiwhDph83XaGc0o0/edit?usp=sharing"",""งบพรบ!DV38"")"),0)</f>
        <v>0</v>
      </c>
      <c r="M306" s="899">
        <f ca="1">IFERROR(__xludf.DUMMYFUNCTION("IMPORTRANGE(""https://docs.google.com/spreadsheets/d/1MeEWN-I1oV_STSDYn1IFDPWt_1FKiwhDph83XaGc0o0/edit?usp=sharing"",""งบพรบ!DY38"")"),0)</f>
        <v>0</v>
      </c>
      <c r="N306" s="899">
        <f ca="1">IFERROR(__xludf.DUMMYFUNCTION("IMPORTRANGE(""https://docs.google.com/spreadsheets/d/1MeEWN-I1oV_STSDYn1IFDPWt_1FKiwhDph83XaGc0o0/edit?usp=sharing"",""งบพรบ!EA38"")"),0)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IFERROR(__xludf.DUMMYFUNCTION("IMPORTRANGE(""https://docs.google.com/spreadsheets/d/1QqKyyYR6Q21VydFLVH3TRQUabQu_ym0Zz7PgGX0-kHA/edit?usp=sharing"",""แผน!ED38"")"),25)</f>
        <v>25</v>
      </c>
      <c r="J309" s="1024">
        <v>25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IFERROR(__xludf.DUMMYFUNCTION("IMPORTRANGE(""https://docs.google.com/spreadsheets/d/1QqKyyYR6Q21VydFLVH3TRQUabQu_ym0Zz7PgGX0-kHA/edit?usp=sharing"",""แผน!ED38"")"),25)</f>
        <v>25</v>
      </c>
      <c r="J310" s="1024">
        <v>25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IFERROR(__xludf.DUMMYFUNCTION("IMPORTRANGE(""https://docs.google.com/spreadsheets/d/1QqKyyYR6Q21VydFLVH3TRQUabQu_ym0Zz7PgGX0-kHA/edit?usp=sharing"",""แผน!ED38"")"),25)</f>
        <v>25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IFERROR(__xludf.DUMMYFUNCTION("IMPORTRANGE(""https://docs.google.com/spreadsheets/d/1QqKyyYR6Q21VydFLVH3TRQUabQu_ym0Zz7PgGX0-kHA/edit?usp=sharing"",""แผน!EE38"")"),5)</f>
        <v>5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IFERROR(__xludf.DUMMYFUNCTION("IMPORTRANGE(""https://docs.google.com/spreadsheets/d/1MeEWN-I1oV_STSDYn1IFDPWt_1FKiwhDph83XaGc0o0/edit?usp=sharing"",""งบพรบ!EC38"")"),0)</f>
        <v>0</v>
      </c>
      <c r="M320" s="899">
        <f ca="1">IFERROR(__xludf.DUMMYFUNCTION("IMPORTRANGE(""https://docs.google.com/spreadsheets/d/1MeEWN-I1oV_STSDYn1IFDPWt_1FKiwhDph83XaGc0o0/edit?usp=sharing"",""งบพรบ!EH38"")"),0)</f>
        <v>0</v>
      </c>
      <c r="N320" s="899">
        <f ca="1">IFERROR(__xludf.DUMMYFUNCTION("IMPORTRANGE(""https://docs.google.com/spreadsheets/d/1MeEWN-I1oV_STSDYn1IFDPWt_1FKiwhDph83XaGc0o0/edit?usp=sharing"",""งบพรบ!EJ38"")"),0)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IFERROR(__xludf.DUMMYFUNCTION("IMPORTRANGE(""https://docs.google.com/spreadsheets/d/1MeEWN-I1oV_STSDYn1IFDPWt_1FKiwhDph83XaGc0o0/edit?usp=sharing"",""งบพรบ!EF38"")"),0)</f>
        <v>0</v>
      </c>
      <c r="M323" s="899">
        <f ca="1">IFERROR(__xludf.DUMMYFUNCTION("IMPORTRANGE(""https://docs.google.com/spreadsheets/d/1MeEWN-I1oV_STSDYn1IFDPWt_1FKiwhDph83XaGc0o0/edit?usp=sharing"",""งบพรบ!EI38"")"),0)</f>
        <v>0</v>
      </c>
      <c r="N323" s="899">
        <f ca="1">IFERROR(__xludf.DUMMYFUNCTION("IMPORTRANGE(""https://docs.google.com/spreadsheets/d/1MeEWN-I1oV_STSDYn1IFDPWt_1FKiwhDph83XaGc0o0/edit?usp=sharing"",""งบพรบ!EK38"")"),0)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IFERROR(__xludf.DUMMYFUNCTION("IMPORTRANGE(""https://docs.google.com/spreadsheets/d/1QqKyyYR6Q21VydFLVH3TRQUabQu_ym0Zz7PgGX0-kHA/edit?usp=sharing"",""แผน!EF38"")"),0)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IFERROR(__xludf.DUMMYFUNCTION("IMPORTRANGE(""https://docs.google.com/spreadsheets/d/1QqKyyYR6Q21VydFLVH3TRQUabQu_ym0Zz7PgGX0-kHA/edit?usp=sharing"",""แผน!EG38"")"),6300)</f>
        <v>6300</v>
      </c>
      <c r="J327" s="1202">
        <f ca="1">J338+J341+J342+J343</f>
        <v>4965</v>
      </c>
      <c r="K327" s="1203">
        <f ca="1">IF(I327&gt;0,J327*100/I327,0)</f>
        <v>78.80952380952381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355200</v>
      </c>
      <c r="M328" s="1004">
        <f t="shared" ca="1" si="149"/>
        <v>268900</v>
      </c>
      <c r="N328" s="1004">
        <f t="shared" ca="1" si="149"/>
        <v>165409.07</v>
      </c>
      <c r="O328" s="1004">
        <f t="shared" ref="O328:O336" ca="1" si="150">IF(L328&gt;0,N328*100/L328,0)</f>
        <v>46.567868806306308</v>
      </c>
      <c r="P328" s="1004">
        <f t="shared" ref="P328:P336" ca="1" si="151">IF(M328&gt;0,N328*100/M328,0)</f>
        <v>61.513227965786541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355200</v>
      </c>
      <c r="M330" s="899">
        <f t="shared" ca="1" si="152"/>
        <v>268900</v>
      </c>
      <c r="N330" s="899">
        <f t="shared" ca="1" si="152"/>
        <v>165409.07</v>
      </c>
      <c r="O330" s="899">
        <f t="shared" ca="1" si="150"/>
        <v>46.567868806306308</v>
      </c>
      <c r="P330" s="899">
        <f t="shared" ca="1" si="151"/>
        <v>61.513227965786541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355200</v>
      </c>
      <c r="M331" s="893">
        <f t="shared" ca="1" si="153"/>
        <v>268900</v>
      </c>
      <c r="N331" s="893">
        <f t="shared" ca="1" si="153"/>
        <v>165409.07</v>
      </c>
      <c r="O331" s="893">
        <f t="shared" ca="1" si="150"/>
        <v>46.567868806306308</v>
      </c>
      <c r="P331" s="893">
        <f t="shared" ca="1" si="151"/>
        <v>61.513227965786541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IFERROR(__xludf.DUMMYFUNCTION("IMPORTRANGE(""https://docs.google.com/spreadsheets/d/1MeEWN-I1oV_STSDYn1IFDPWt_1FKiwhDph83XaGc0o0/edit?usp=sharing"",""งบพรบ!EM38"")"),355200)</f>
        <v>355200</v>
      </c>
      <c r="M333" s="899">
        <f ca="1">IFERROR(__xludf.DUMMYFUNCTION("IMPORTRANGE(""https://docs.google.com/spreadsheets/d/1MeEWN-I1oV_STSDYn1IFDPWt_1FKiwhDph83XaGc0o0/edit?usp=sharing"",""งบพรบ!ER38"")"),268900)</f>
        <v>268900</v>
      </c>
      <c r="N333" s="899">
        <f ca="1">IFERROR(__xludf.DUMMYFUNCTION("IMPORTRANGE(""https://docs.google.com/spreadsheets/d/1MeEWN-I1oV_STSDYn1IFDPWt_1FKiwhDph83XaGc0o0/edit?usp=sharing"",""งบพรบ!ET38"")"),165409.07)</f>
        <v>165409.07</v>
      </c>
      <c r="O333" s="899">
        <f t="shared" ca="1" si="150"/>
        <v>46.567868806306308</v>
      </c>
      <c r="P333" s="899">
        <f t="shared" ca="1" si="151"/>
        <v>61.513227965786541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IFERROR(__xludf.DUMMYFUNCTION("IMPORTRANGE(""https://docs.google.com/spreadsheets/d/1MeEWN-I1oV_STSDYn1IFDPWt_1FKiwhDph83XaGc0o0/edit?usp=sharing"",""งบพรบ!EP38"")"),0)</f>
        <v>0</v>
      </c>
      <c r="M336" s="899">
        <f ca="1">IFERROR(__xludf.DUMMYFUNCTION("IMPORTRANGE(""https://docs.google.com/spreadsheets/d/1MeEWN-I1oV_STSDYn1IFDPWt_1FKiwhDph83XaGc0o0/edit?usp=sharing"",""งบพรบ!ES38"")"),0)</f>
        <v>0</v>
      </c>
      <c r="N336" s="899">
        <f ca="1">IFERROR(__xludf.DUMMYFUNCTION("IMPORTRANGE(""https://docs.google.com/spreadsheets/d/1MeEWN-I1oV_STSDYn1IFDPWt_1FKiwhDph83XaGc0o0/edit?usp=sharing"",""งบพรบ!EU38"")"),0)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IFERROR(__xludf.DUMMYFUNCTION("IMPORTRANGE(""https://docs.google.com/spreadsheets/d/1QqKyyYR6Q21VydFLVH3TRQUabQu_ym0Zz7PgGX0-kHA/edit?usp=sharing"",""แผน!EG38"")"),6300)</f>
        <v>6300</v>
      </c>
      <c r="J338" s="892">
        <f ca="1">IFERROR(__xludf.DUMMYFUNCTION("IMPORTRANGE(""https://docs.google.com/spreadsheets/d/1kVcqe37tkHyjCSG3S0O1AXqVkqjo8mSIZil3BcpIysc/edit?usp=sharing"",""ศูนย์!D38"")"),4693)</f>
        <v>4693</v>
      </c>
      <c r="K338" s="893">
        <f ca="1">IF(I338&gt;0,J338*100/I338,0)</f>
        <v>74.492063492063494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IFERROR(__xludf.DUMMYFUNCTION("IMPORTRANGE(""https://docs.google.com/spreadsheets/d/1QqKyyYR6Q21VydFLVH3TRQUabQu_ym0Zz7PgGX0-kHA/edit?usp=sharing"",""แผน!EH38"")"),6)</f>
        <v>6</v>
      </c>
      <c r="J340" s="892">
        <f ca="1">IFERROR(__xludf.DUMMYFUNCTION("IMPORTRANGE(""https://docs.google.com/spreadsheets/d/1kVcqe37tkHyjCSG3S0O1AXqVkqjo8mSIZil3BcpIysc/edit?usp=sharing"",""ศูนย์!E38"")"),5)</f>
        <v>5</v>
      </c>
      <c r="K340" s="893">
        <f ca="1">IF(I340&gt;0,J340*100/I340,0)</f>
        <v>83.333333333333329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IFERROR(__xludf.DUMMYFUNCTION("IMPORTRANGE(""https://docs.google.com/spreadsheets/d/1kVcqe37tkHyjCSG3S0O1AXqVkqjo8mSIZil3BcpIysc/edit?usp=sharing"",""ศูนย์!F38"")"),271)</f>
        <v>271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IFERROR(__xludf.DUMMYFUNCTION("IMPORTRANGE(""https://docs.google.com/spreadsheets/d/1kVcqe37tkHyjCSG3S0O1AXqVkqjo8mSIZil3BcpIysc/edit?usp=sharing"",""ศูนย์!G38"")"),0)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IFERROR(__xludf.DUMMYFUNCTION("IMPORTRANGE(""https://docs.google.com/spreadsheets/d/1kVcqe37tkHyjCSG3S0O1AXqVkqjo8mSIZil3BcpIysc/edit?usp=sharing"",""ศูนย์!H38"")"),1)</f>
        <v>1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1329450</v>
      </c>
      <c r="M345" s="1004">
        <f t="shared" ca="1" si="155"/>
        <v>1100730</v>
      </c>
      <c r="N345" s="1004">
        <f t="shared" ca="1" si="155"/>
        <v>860176.7</v>
      </c>
      <c r="O345" s="1004">
        <f t="shared" ref="O345:O353" ca="1" si="156">IF(L345&gt;0,N345*100/L345,0)</f>
        <v>64.701696190153825</v>
      </c>
      <c r="P345" s="1004">
        <f t="shared" ref="P345:P353" ca="1" si="157">IF(M345&gt;0,N345*100/M345,0)</f>
        <v>78.146021276789043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1329450</v>
      </c>
      <c r="M347" s="899">
        <f t="shared" ca="1" si="158"/>
        <v>1100730</v>
      </c>
      <c r="N347" s="899">
        <f t="shared" ca="1" si="158"/>
        <v>860176.7</v>
      </c>
      <c r="O347" s="899">
        <f t="shared" ca="1" si="156"/>
        <v>64.701696190153825</v>
      </c>
      <c r="P347" s="899">
        <f t="shared" ca="1" si="157"/>
        <v>78.146021276789043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1215650</v>
      </c>
      <c r="M348" s="893">
        <f t="shared" ca="1" si="159"/>
        <v>986930</v>
      </c>
      <c r="N348" s="893">
        <f t="shared" ca="1" si="159"/>
        <v>746376.7</v>
      </c>
      <c r="O348" s="893">
        <f t="shared" ca="1" si="156"/>
        <v>61.397334759182328</v>
      </c>
      <c r="P348" s="893">
        <f t="shared" ca="1" si="157"/>
        <v>75.626103168411134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IFERROR(__xludf.DUMMYFUNCTION("IMPORTRANGE(""https://docs.google.com/spreadsheets/d/1MeEWN-I1oV_STSDYn1IFDPWt_1FKiwhDph83XaGc0o0/edit?usp=sharing"",""งบพรบ!EW38"")"),1215650)</f>
        <v>1215650</v>
      </c>
      <c r="M350" s="899">
        <f ca="1">IFERROR(__xludf.DUMMYFUNCTION("IMPORTRANGE(""https://docs.google.com/spreadsheets/d/1MeEWN-I1oV_STSDYn1IFDPWt_1FKiwhDph83XaGc0o0/edit?usp=sharing"",""งบพรบ!FB38"")"),986930)</f>
        <v>986930</v>
      </c>
      <c r="N350" s="899">
        <f ca="1">IFERROR(__xludf.DUMMYFUNCTION("IMPORTRANGE(""https://docs.google.com/spreadsheets/d/1MeEWN-I1oV_STSDYn1IFDPWt_1FKiwhDph83XaGc0o0/edit?usp=sharing"",""งบพรบ!FD38"")"),746376.7)</f>
        <v>746376.7</v>
      </c>
      <c r="O350" s="899">
        <f t="shared" ca="1" si="156"/>
        <v>61.397334759182328</v>
      </c>
      <c r="P350" s="899">
        <f t="shared" ca="1" si="157"/>
        <v>75.626103168411134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113800</v>
      </c>
      <c r="M351" s="893">
        <f t="shared" ca="1" si="160"/>
        <v>113800</v>
      </c>
      <c r="N351" s="893">
        <f t="shared" ca="1" si="160"/>
        <v>113800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IFERROR(__xludf.DUMMYFUNCTION("IMPORTRANGE(""https://docs.google.com/spreadsheets/d/1MeEWN-I1oV_STSDYn1IFDPWt_1FKiwhDph83XaGc0o0/edit?usp=sharing"",""งบพรบ!EZ38"")"),113800)</f>
        <v>113800</v>
      </c>
      <c r="M353" s="899">
        <f ca="1">IFERROR(__xludf.DUMMYFUNCTION("IMPORTRANGE(""https://docs.google.com/spreadsheets/d/1MeEWN-I1oV_STSDYn1IFDPWt_1FKiwhDph83XaGc0o0/edit?usp=sharing"",""งบพรบ!FC38"")"),113800)</f>
        <v>113800</v>
      </c>
      <c r="N353" s="899">
        <f ca="1">IFERROR(__xludf.DUMMYFUNCTION("IMPORTRANGE(""https://docs.google.com/spreadsheets/d/1MeEWN-I1oV_STSDYn1IFDPWt_1FKiwhDph83XaGc0o0/edit?usp=sharing"",""งบพรบ!FE38"")"),113800)</f>
        <v>113800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IFERROR(__xludf.DUMMYFUNCTION("IMPORTRANGE(""https://docs.google.com/spreadsheets/d/1QqKyyYR6Q21VydFLVH3TRQUabQu_ym0Zz7PgGX0-kHA/edit?usp=sharing"",""แผน!EP38"")"),696)</f>
        <v>696</v>
      </c>
      <c r="J355" s="1218">
        <f ca="1">J362</f>
        <v>323</v>
      </c>
      <c r="K355" s="1219">
        <f ca="1">IF(I355&gt;0,J355*100/I355,0)</f>
        <v>46.408045977011497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IFERROR(__xludf.DUMMYFUNCTION("IMPORTRANGE(""https://docs.google.com/spreadsheets/d/1XWAQStnk-4SwqDmLtmXYiTMKHgktTP8We1SCoS47DrQ/edit?usp=sharing"",""จัดที่ดิน!W38"")"),509)</f>
        <v>509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IFERROR(__xludf.DUMMYFUNCTION("IMPORTRANGE(""https://docs.google.com/spreadsheets/d/1QqKyyYR6Q21VydFLVH3TRQUabQu_ym0Zz7PgGX0-kHA/edit?usp=sharing"",""แผน!EO38"")"),6960)</f>
        <v>6960</v>
      </c>
      <c r="J359" s="892">
        <f ca="1">IFERROR(__xludf.DUMMYFUNCTION("IMPORTRANGE(""https://docs.google.com/spreadsheets/d/1XWAQStnk-4SwqDmLtmXYiTMKHgktTP8We1SCoS47DrQ/edit?usp=sharing"",""จัดที่ดิน!X38"")"),3450.97)</f>
        <v>3450.97</v>
      </c>
      <c r="K359" s="893">
        <f t="shared" ca="1" si="161"/>
        <v>49.582902298850577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IFERROR(__xludf.DUMMYFUNCTION("IMPORTRANGE(""https://docs.google.com/spreadsheets/d/1QqKyyYR6Q21VydFLVH3TRQUabQu_ym0Zz7PgGX0-kHA/edit?usp=sharing"",""แผน!EP38"")"),696)</f>
        <v>696</v>
      </c>
      <c r="J360" s="892">
        <f ca="1">IFERROR(__xludf.DUMMYFUNCTION("IMPORTRANGE(""https://docs.google.com/spreadsheets/d/1XWAQStnk-4SwqDmLtmXYiTMKHgktTP8We1SCoS47DrQ/edit?usp=sharing"",""จัดที่ดิน!Y38"")"),373)</f>
        <v>373</v>
      </c>
      <c r="K360" s="893">
        <f t="shared" ca="1" si="161"/>
        <v>53.591954022988503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IFERROR(__xludf.DUMMYFUNCTION("IMPORTRANGE(""https://docs.google.com/spreadsheets/d/1XWAQStnk-4SwqDmLtmXYiTMKHgktTP8We1SCoS47DrQ/edit?usp=sharing"",""จัดที่ดิน!Z38"")"),2448.48)</f>
        <v>2448.48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IFERROR(__xludf.DUMMYFUNCTION("IMPORTRANGE(""https://docs.google.com/spreadsheets/d/1QqKyyYR6Q21VydFLVH3TRQUabQu_ym0Zz7PgGX0-kHA/edit?usp=sharing"",""แผน!EP38"")"),696)</f>
        <v>696</v>
      </c>
      <c r="J362" s="892">
        <f ca="1">IFERROR(__xludf.DUMMYFUNCTION("IMPORTRANGE(""https://docs.google.com/spreadsheets/d/1XWAQStnk-4SwqDmLtmXYiTMKHgktTP8We1SCoS47DrQ/edit?usp=sharing"",""จัดที่ดิน!AA38"")"),323)</f>
        <v>323</v>
      </c>
      <c r="K362" s="893">
        <f t="shared" ca="1" si="161"/>
        <v>46.408045977011497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IFERROR(__xludf.DUMMYFUNCTION("IMPORTRANGE(""https://docs.google.com/spreadsheets/d/1XWAQStnk-4SwqDmLtmXYiTMKHgktTP8We1SCoS47DrQ/edit?usp=sharing"",""จัดที่ดิน!AB38"")"),2050.74)</f>
        <v>2050.7399999999998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1236</v>
      </c>
      <c r="J364" s="1231">
        <f t="shared" ca="1" si="162"/>
        <v>700</v>
      </c>
      <c r="K364" s="1232">
        <f t="shared" ca="1" si="161"/>
        <v>56.63430420711974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IFERROR(__xludf.DUMMYFUNCTION("IMPORTRANGE(""https://docs.google.com/spreadsheets/d/1QqKyyYR6Q21VydFLVH3TRQUabQu_ym0Zz7PgGX0-kHA/edit?usp=sharing"",""แผน!EJ38"")"),596)</f>
        <v>596</v>
      </c>
      <c r="J365" s="1239">
        <f ca="1">J372</f>
        <v>270</v>
      </c>
      <c r="K365" s="1240">
        <f t="shared" ca="1" si="161"/>
        <v>45.302013422818789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IFERROR(__xludf.DUMMYFUNCTION("IMPORTRANGE(""https://docs.google.com/spreadsheets/d/1XWAQStnk-4SwqDmLtmXYiTMKHgktTP8We1SCoS47DrQ/edit?usp=sharing"",""จัดที่ดิน!E38"")"),428)</f>
        <v>428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IFERROR(__xludf.DUMMYFUNCTION("IMPORTRANGE(""https://docs.google.com/spreadsheets/d/1QqKyyYR6Q21VydFLVH3TRQUabQu_ym0Zz7PgGX0-kHA/edit?usp=sharing"",""แผน!EI38"")"),5960)</f>
        <v>5960</v>
      </c>
      <c r="J369" s="892">
        <f ca="1">IFERROR(__xludf.DUMMYFUNCTION("IMPORTRANGE(""https://docs.google.com/spreadsheets/d/1XWAQStnk-4SwqDmLtmXYiTMKHgktTP8We1SCoS47DrQ/edit?usp=sharing"",""จัดที่ดิน!F38"")"),2797.4)</f>
        <v>2797.4</v>
      </c>
      <c r="K369" s="893">
        <f t="shared" ca="1" si="163"/>
        <v>46.936241610738257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IFERROR(__xludf.DUMMYFUNCTION("IMPORTRANGE(""https://docs.google.com/spreadsheets/d/1QqKyyYR6Q21VydFLVH3TRQUabQu_ym0Zz7PgGX0-kHA/edit?usp=sharing"",""แผน!EJ38"")"),596)</f>
        <v>596</v>
      </c>
      <c r="J370" s="892">
        <f ca="1">IFERROR(__xludf.DUMMYFUNCTION("IMPORTRANGE(""https://docs.google.com/spreadsheets/d/1XWAQStnk-4SwqDmLtmXYiTMKHgktTP8We1SCoS47DrQ/edit?usp=sharing"",""จัดที่ดิน!G38"")"),288)</f>
        <v>288</v>
      </c>
      <c r="K370" s="893">
        <f t="shared" ca="1" si="163"/>
        <v>48.322147651006709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IFERROR(__xludf.DUMMYFUNCTION("IMPORTRANGE(""https://docs.google.com/spreadsheets/d/1XWAQStnk-4SwqDmLtmXYiTMKHgktTP8We1SCoS47DrQ/edit?usp=sharing"",""จัดที่ดิน!H38"")"),1743.6)</f>
        <v>1743.6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IFERROR(__xludf.DUMMYFUNCTION("IMPORTRANGE(""https://docs.google.com/spreadsheets/d/1QqKyyYR6Q21VydFLVH3TRQUabQu_ym0Zz7PgGX0-kHA/edit?usp=sharing"",""แผน!EJ38"")"),596)</f>
        <v>596</v>
      </c>
      <c r="J372" s="892">
        <f ca="1">IFERROR(__xludf.DUMMYFUNCTION("IMPORTRANGE(""https://docs.google.com/spreadsheets/d/1XWAQStnk-4SwqDmLtmXYiTMKHgktTP8We1SCoS47DrQ/edit?usp=sharing"",""จัดที่ดิน!I38"")"),270)</f>
        <v>270</v>
      </c>
      <c r="K372" s="893">
        <f t="shared" ca="1" si="163"/>
        <v>45.302013422818789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IFERROR(__xludf.DUMMYFUNCTION("IMPORTRANGE(""https://docs.google.com/spreadsheets/d/1XWAQStnk-4SwqDmLtmXYiTMKHgktTP8We1SCoS47DrQ/edit?usp=sharing"",""จัดที่ดิน!J38"")"),1608.18)</f>
        <v>1608.18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IFERROR(__xludf.DUMMYFUNCTION("IMPORTRANGE(""https://docs.google.com/spreadsheets/d/1QqKyyYR6Q21VydFLVH3TRQUabQu_ym0Zz7PgGX0-kHA/edit?usp=sharing"",""แผน!EU38"")"),640)</f>
        <v>640</v>
      </c>
      <c r="J374" s="1239">
        <f ca="1">J381</f>
        <v>430</v>
      </c>
      <c r="K374" s="1240">
        <f t="shared" ca="1" si="163"/>
        <v>67.1875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IFERROR(__xludf.DUMMYFUNCTION("IMPORTRANGE(""https://docs.google.com/spreadsheets/d/1XWAQStnk-4SwqDmLtmXYiTMKHgktTP8We1SCoS47DrQ/edit?usp=sharing"",""จัดที่ดิน!AH38"")"),81)</f>
        <v>81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IFERROR(__xludf.DUMMYFUNCTION("IMPORTRANGE(""https://docs.google.com/spreadsheets/d/1QqKyyYR6Q21VydFLVH3TRQUabQu_ym0Zz7PgGX0-kHA/edit?usp=sharing"",""แผน!ET38"")"),1000)</f>
        <v>1000</v>
      </c>
      <c r="J378" s="892">
        <f ca="1">IFERROR(__xludf.DUMMYFUNCTION("IMPORTRANGE(""https://docs.google.com/spreadsheets/d/1XWAQStnk-4SwqDmLtmXYiTMKHgktTP8We1SCoS47DrQ/edit?usp=sharing"",""จัดที่ดิน!AI38"")"),653.57)</f>
        <v>653.57000000000005</v>
      </c>
      <c r="K378" s="893">
        <f t="shared" ca="1" si="164"/>
        <v>65.357000000000014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IFERROR(__xludf.DUMMYFUNCTION("IMPORTRANGE(""https://docs.google.com/spreadsheets/d/1QqKyyYR6Q21VydFLVH3TRQUabQu_ym0Zz7PgGX0-kHA/edit?usp=sharing"",""แผน!EU38"")"),640)</f>
        <v>640</v>
      </c>
      <c r="J379" s="892">
        <f ca="1">IFERROR(__xludf.DUMMYFUNCTION("IMPORTRANGE(""https://docs.google.com/spreadsheets/d/1XWAQStnk-4SwqDmLtmXYiTMKHgktTP8We1SCoS47DrQ/edit?usp=sharing"",""จัดที่ดิน!AJ38"")"),465)</f>
        <v>465</v>
      </c>
      <c r="K379" s="893">
        <f t="shared" ca="1" si="164"/>
        <v>72.65625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IFERROR(__xludf.DUMMYFUNCTION("IMPORTRANGE(""https://docs.google.com/spreadsheets/d/1XWAQStnk-4SwqDmLtmXYiTMKHgktTP8We1SCoS47DrQ/edit?usp=sharing"",""จัดที่ดิน!AK38"")"),4704.66)</f>
        <v>4704.66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IFERROR(__xludf.DUMMYFUNCTION("IMPORTRANGE(""https://docs.google.com/spreadsheets/d/1QqKyyYR6Q21VydFLVH3TRQUabQu_ym0Zz7PgGX0-kHA/edit?usp=sharing"",""แผน!EU38"")"),640)</f>
        <v>640</v>
      </c>
      <c r="J381" s="892">
        <f ca="1">IFERROR(__xludf.DUMMYFUNCTION("IMPORTRANGE(""https://docs.google.com/spreadsheets/d/1XWAQStnk-4SwqDmLtmXYiTMKHgktTP8We1SCoS47DrQ/edit?usp=sharing"",""จัดที่ดิน!AL38"")"),430)</f>
        <v>430</v>
      </c>
      <c r="K381" s="893">
        <f t="shared" ca="1" si="164"/>
        <v>67.1875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IFERROR(__xludf.DUMMYFUNCTION("IMPORTRANGE(""https://docs.google.com/spreadsheets/d/1XWAQStnk-4SwqDmLtmXYiTMKHgktTP8We1SCoS47DrQ/edit?usp=sharing"",""จัดที่ดิน!AM38"")"),4410.28)</f>
        <v>4410.28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IFERROR(__xludf.DUMMYFUNCTION("IMPORTRANGE(""https://docs.google.com/spreadsheets/d/1QqKyyYR6Q21VydFLVH3TRQUabQu_ym0Zz7PgGX0-kHA/edit?usp=sharing"",""แผน!EW38"")"),50)</f>
        <v>50</v>
      </c>
      <c r="J385" s="1149">
        <f ca="1">IFERROR(__xludf.DUMMYFUNCTION("IMPORTRANGE(""https://docs.google.com/spreadsheets/d/1XWAQStnk-4SwqDmLtmXYiTMKHgktTP8We1SCoS47DrQ/edit?usp=sharing"",""จัดที่ดิน!AP38"")"),6)</f>
        <v>6</v>
      </c>
      <c r="K385" s="1251">
        <f ca="1">IF(I385&gt;0,J385*100/I385,0)</f>
        <v>12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IFERROR(__xludf.DUMMYFUNCTION("IMPORTRANGE(""https://docs.google.com/spreadsheets/d/1MeEWN-I1oV_STSDYn1IFDPWt_1FKiwhDph83XaGc0o0/edit?usp=sharing"",""งบพรบ!FG38"")"),0)</f>
        <v>0</v>
      </c>
      <c r="M394" s="899">
        <f ca="1">IFERROR(__xludf.DUMMYFUNCTION("IMPORTRANGE(""https://docs.google.com/spreadsheets/d/1MeEWN-I1oV_STSDYn1IFDPWt_1FKiwhDph83XaGc0o0/edit?usp=sharing"",""งบพรบ!FL38"")"),0)</f>
        <v>0</v>
      </c>
      <c r="N394" s="899">
        <f ca="1">IFERROR(__xludf.DUMMYFUNCTION("IMPORTRANGE(""https://docs.google.com/spreadsheets/d/1MeEWN-I1oV_STSDYn1IFDPWt_1FKiwhDph83XaGc0o0/edit?usp=sharing"",""งบพรบ!FN38"")"),0)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IFERROR(__xludf.DUMMYFUNCTION("IMPORTRANGE(""https://docs.google.com/spreadsheets/d/1MeEWN-I1oV_STSDYn1IFDPWt_1FKiwhDph83XaGc0o0/edit?usp=sharing"",""งบพรบ!FJ38"")"),0)</f>
        <v>0</v>
      </c>
      <c r="M397" s="899">
        <f ca="1">IFERROR(__xludf.DUMMYFUNCTION("IMPORTRANGE(""https://docs.google.com/spreadsheets/d/1MeEWN-I1oV_STSDYn1IFDPWt_1FKiwhDph83XaGc0o0/edit?usp=sharing"",""งบพรบ!FM38"")"),0)</f>
        <v>0</v>
      </c>
      <c r="N397" s="899">
        <f ca="1">IFERROR(__xludf.DUMMYFUNCTION("IMPORTRANGE(""https://docs.google.com/spreadsheets/d/1MeEWN-I1oV_STSDYn1IFDPWt_1FKiwhDph83XaGc0o0/edit?usp=sharing"",""งบพรบ!FO38"")"),0)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IFERROR(__xludf.DUMMYFUNCTION("IMPORTRANGE(""https://docs.google.com/spreadsheets/d/1MeEWN-I1oV_STSDYn1IFDPWt_1FKiwhDph83XaGc0o0/edit?usp=sharing"",""งบพรบ!FQ38"")"),0)</f>
        <v>0</v>
      </c>
      <c r="M407" s="899">
        <f ca="1">IFERROR(__xludf.DUMMYFUNCTION("IMPORTRANGE(""https://docs.google.com/spreadsheets/d/1MeEWN-I1oV_STSDYn1IFDPWt_1FKiwhDph83XaGc0o0/edit?usp=sharing"",""งบพรบ!FV38"")"),0)</f>
        <v>0</v>
      </c>
      <c r="N407" s="899">
        <f ca="1">IFERROR(__xludf.DUMMYFUNCTION("IMPORTRANGE(""https://docs.google.com/spreadsheets/d/1MeEWN-I1oV_STSDYn1IFDPWt_1FKiwhDph83XaGc0o0/edit?usp=sharing"",""งบพรบ!FX38"")"),0)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IFERROR(__xludf.DUMMYFUNCTION("IMPORTRANGE(""https://docs.google.com/spreadsheets/d/1MeEWN-I1oV_STSDYn1IFDPWt_1FKiwhDph83XaGc0o0/edit?usp=sharing"",""งบพรบ!FT38"")"),0)</f>
        <v>0</v>
      </c>
      <c r="M410" s="899">
        <f ca="1">IFERROR(__xludf.DUMMYFUNCTION("IMPORTRANGE(""https://docs.google.com/spreadsheets/d/1MeEWN-I1oV_STSDYn1IFDPWt_1FKiwhDph83XaGc0o0/edit?usp=sharing"",""งบพรบ!FW38"")"),0)</f>
        <v>0</v>
      </c>
      <c r="N410" s="899">
        <f ca="1">IFERROR(__xludf.DUMMYFUNCTION("IMPORTRANGE(""https://docs.google.com/spreadsheets/d/1MeEWN-I1oV_STSDYn1IFDPWt_1FKiwhDph83XaGc0o0/edit?usp=sharing"",""งบพรบ!FY38"")"),0)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3094033</v>
      </c>
      <c r="M414" s="1293">
        <f t="shared" ca="1" si="181"/>
        <v>3094033</v>
      </c>
      <c r="N414" s="1293">
        <f t="shared" si="181"/>
        <v>1349408.7</v>
      </c>
      <c r="O414" s="1293">
        <f ca="1">IF(L414&gt;0,N414*100/L414,0)</f>
        <v>43.613261397018064</v>
      </c>
      <c r="P414" s="1293">
        <f ca="1">IF(M414&gt;0,N414*100/M414,0)</f>
        <v>43.613261397018064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79660</v>
      </c>
      <c r="M419" s="1004">
        <f t="shared" ca="1" si="184"/>
        <v>79660</v>
      </c>
      <c r="N419" s="1004">
        <f t="shared" si="184"/>
        <v>47225</v>
      </c>
      <c r="O419" s="1004">
        <f t="shared" ref="O419:O424" ca="1" si="185">IF(L419&gt;0,N419*100/L419,0)</f>
        <v>59.283203615365302</v>
      </c>
      <c r="P419" s="1004">
        <f t="shared" ref="P419:P424" ca="1" si="186">IF(M419&gt;0,N419*100/M419,0)</f>
        <v>59.283203615365302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79660</v>
      </c>
      <c r="M421" s="899">
        <f t="shared" ca="1" si="187"/>
        <v>79660</v>
      </c>
      <c r="N421" s="899">
        <f t="shared" si="187"/>
        <v>47225</v>
      </c>
      <c r="O421" s="899">
        <f t="shared" ca="1" si="185"/>
        <v>59.283203615365302</v>
      </c>
      <c r="P421" s="899">
        <f t="shared" ca="1" si="186"/>
        <v>59.283203615365302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79660</v>
      </c>
      <c r="M422" s="893">
        <f t="shared" ca="1" si="188"/>
        <v>79660</v>
      </c>
      <c r="N422" s="893">
        <f t="shared" si="188"/>
        <v>47225</v>
      </c>
      <c r="O422" s="893">
        <f t="shared" ca="1" si="185"/>
        <v>59.283203615365302</v>
      </c>
      <c r="P422" s="893">
        <f t="shared" ca="1" si="186"/>
        <v>59.283203615365302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IFERROR(__xludf.DUMMYFUNCTION("IMPORTRANGE(""https://docs.google.com/spreadsheets/d/1QqKyyYR6Q21VydFLVH3TRQUabQu_ym0Zz7PgGX0-kHA/edit?usp=sharing"",""แผน!EY38"")"),79660)</f>
        <v>79660</v>
      </c>
      <c r="M424" s="899">
        <f ca="1">L424</f>
        <v>79660</v>
      </c>
      <c r="N424" s="899">
        <f>N425+N426+N427+N428</f>
        <v>47225</v>
      </c>
      <c r="O424" s="899">
        <f t="shared" ca="1" si="185"/>
        <v>59.283203615365302</v>
      </c>
      <c r="P424" s="899">
        <f t="shared" ca="1" si="186"/>
        <v>59.283203615365302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43675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3550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IFERROR(__xludf.DUMMYFUNCTION("IMPORTRANGE(""https://docs.google.com/spreadsheets/d/1QqKyyYR6Q21VydFLVH3TRQUabQu_ym0Zz7PgGX0-kHA/edit?usp=sharing"",""แผน!FB38"")"),0)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IFERROR(__xludf.DUMMYFUNCTION("IMPORTRANGE(""https://docs.google.com/spreadsheets/d/1QqKyyYR6Q21VydFLVH3TRQUabQu_ym0Zz7PgGX0-kHA/edit?usp=sharing"",""แผน!FE38"")"),0)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IFERROR(__xludf.DUMMYFUNCTION("IMPORTRANGE(""https://docs.google.com/spreadsheets/d/1QqKyyYR6Q21VydFLVH3TRQUabQu_ym0Zz7PgGX0-kHA/edit?usp=sharing"",""แผน!FG38"")"),1)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IFERROR(__xludf.DUMMYFUNCTION("IMPORTRANGE(""https://docs.google.com/spreadsheets/d/1QqKyyYR6Q21VydFLVH3TRQUabQu_ym0Zz7PgGX0-kHA/edit?usp=sharing"",""แผน!FH38"")"),0)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55</v>
      </c>
      <c r="J442" s="1322">
        <f t="shared" si="195"/>
        <v>55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550</v>
      </c>
      <c r="J443" s="1306">
        <f t="shared" si="196"/>
        <v>550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717500</v>
      </c>
      <c r="M444" s="1032">
        <f t="shared" ca="1" si="197"/>
        <v>717500</v>
      </c>
      <c r="N444" s="1032">
        <f t="shared" si="197"/>
        <v>612099</v>
      </c>
      <c r="O444" s="1032">
        <f t="shared" ref="O444:O449" ca="1" si="198">IF(L444&gt;0,N444*100/L444,0)</f>
        <v>85.309965156794419</v>
      </c>
      <c r="P444" s="1032">
        <f t="shared" ref="P444:P449" ca="1" si="199">IF(M444&gt;0,N444*100/M444,0)</f>
        <v>85.309965156794419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717500</v>
      </c>
      <c r="M446" s="899">
        <f t="shared" ca="1" si="200"/>
        <v>717500</v>
      </c>
      <c r="N446" s="899">
        <f t="shared" si="200"/>
        <v>612099</v>
      </c>
      <c r="O446" s="899">
        <f t="shared" ca="1" si="198"/>
        <v>85.309965156794419</v>
      </c>
      <c r="P446" s="899">
        <f t="shared" ca="1" si="199"/>
        <v>85.309965156794419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717500</v>
      </c>
      <c r="M447" s="893">
        <f t="shared" ca="1" si="201"/>
        <v>717500</v>
      </c>
      <c r="N447" s="893">
        <f t="shared" si="201"/>
        <v>612099</v>
      </c>
      <c r="O447" s="893">
        <f t="shared" ca="1" si="198"/>
        <v>85.309965156794419</v>
      </c>
      <c r="P447" s="893">
        <f t="shared" ca="1" si="199"/>
        <v>85.309965156794419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IFERROR(__xludf.DUMMYFUNCTION("IMPORTRANGE(""https://docs.google.com/spreadsheets/d/1QqKyyYR6Q21VydFLVH3TRQUabQu_ym0Zz7PgGX0-kHA/edit?usp=sharing"",""แผน!FJ38"")"),717500)</f>
        <v>717500</v>
      </c>
      <c r="M449" s="899">
        <f ca="1">L449</f>
        <v>717500</v>
      </c>
      <c r="N449" s="899">
        <f>N450+N451+N452+N453</f>
        <v>612099</v>
      </c>
      <c r="O449" s="899">
        <f t="shared" ca="1" si="198"/>
        <v>85.309965156794419</v>
      </c>
      <c r="P449" s="899">
        <f t="shared" ca="1" si="199"/>
        <v>85.309965156794419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88234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445825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13040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IFERROR(__xludf.DUMMYFUNCTION("IMPORTRANGE(""https://docs.google.com/spreadsheets/d/1QqKyyYR6Q21VydFLVH3TRQUabQu_ym0Zz7PgGX0-kHA/edit?usp=sharing"",""แผน!FM38"")"),0)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IFERROR(__xludf.DUMMYFUNCTION("IMPORTRANGE(""https://docs.google.com/spreadsheets/d/1QqKyyYR6Q21VydFLVH3TRQUabQu_ym0Zz7PgGX0-kHA/edit?usp=sharing"",""แผน!FN38"")"),55)</f>
        <v>55</v>
      </c>
      <c r="J460" s="1024">
        <v>55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IFERROR(__xludf.DUMMYFUNCTION("IMPORTRANGE(""https://docs.google.com/spreadsheets/d/1QqKyyYR6Q21VydFLVH3TRQUabQu_ym0Zz7PgGX0-kHA/edit?usp=sharing"",""แผน!FO38"")"),550)</f>
        <v>550</v>
      </c>
      <c r="J462" s="1024">
        <v>550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IFERROR(__xludf.DUMMYFUNCTION("IMPORTRANGE(""https://docs.google.com/spreadsheets/d/1QqKyyYR6Q21VydFLVH3TRQUabQu_ym0Zz7PgGX0-kHA/edit?usp=sharing"",""แผน!FO38"")"),550)</f>
        <v>550</v>
      </c>
      <c r="J463" s="1024">
        <v>550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IFERROR(__xludf.DUMMYFUNCTION("IMPORTRANGE(""https://docs.google.com/spreadsheets/d/1QqKyyYR6Q21VydFLVH3TRQUabQu_ym0Zz7PgGX0-kHA/edit?usp=sharing"",""แผน!FN38"")"),55)</f>
        <v>55</v>
      </c>
      <c r="J464" s="1024">
        <v>55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IFERROR(__xludf.DUMMYFUNCTION("IMPORTRANGE(""https://docs.google.com/spreadsheets/d/1QqKyyYR6Q21VydFLVH3TRQUabQu_ym0Zz7PgGX0-kHA/edit?usp=sharing"",""แผน!FX38"")"),131)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IFERROR(__xludf.DUMMYFUNCTION("IMPORTRANGE(""https://docs.google.com/spreadsheets/d/1QqKyyYR6Q21VydFLVH3TRQUabQu_ym0Zz7PgGX0-kHA/edit?usp=sharing"",""แผน!FW38"")"),1300)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1168168</v>
      </c>
      <c r="M467" s="1032">
        <f t="shared" ca="1" si="206"/>
        <v>1168168</v>
      </c>
      <c r="N467" s="1032">
        <f t="shared" si="206"/>
        <v>219680.2</v>
      </c>
      <c r="O467" s="1032">
        <f t="shared" ref="O467:O472" ca="1" si="207">IF(L467&gt;0,N467*100/L467,0)</f>
        <v>18.805531396169044</v>
      </c>
      <c r="P467" s="1032">
        <f t="shared" ref="P467:P472" ca="1" si="208">IF(M467&gt;0,N467*100/M467,0)</f>
        <v>18.805531396169044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1168168</v>
      </c>
      <c r="M469" s="899">
        <f t="shared" ca="1" si="209"/>
        <v>1168168</v>
      </c>
      <c r="N469" s="899">
        <f t="shared" si="209"/>
        <v>219680.2</v>
      </c>
      <c r="O469" s="899">
        <f t="shared" ca="1" si="207"/>
        <v>18.805531396169044</v>
      </c>
      <c r="P469" s="899">
        <f t="shared" ca="1" si="208"/>
        <v>18.805531396169044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1168168</v>
      </c>
      <c r="M470" s="893">
        <f t="shared" ca="1" si="210"/>
        <v>1168168</v>
      </c>
      <c r="N470" s="893">
        <f t="shared" si="210"/>
        <v>219680.2</v>
      </c>
      <c r="O470" s="893">
        <f t="shared" ca="1" si="207"/>
        <v>18.805531396169044</v>
      </c>
      <c r="P470" s="893">
        <f t="shared" ca="1" si="208"/>
        <v>18.805531396169044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IFERROR(__xludf.DUMMYFUNCTION("IMPORTRANGE(""https://docs.google.com/spreadsheets/d/1QqKyyYR6Q21VydFLVH3TRQUabQu_ym0Zz7PgGX0-kHA/edit?usp=sharing"",""แผน!FS38"")"),1168168)</f>
        <v>1168168</v>
      </c>
      <c r="M472" s="899">
        <f ca="1">L472</f>
        <v>1168168</v>
      </c>
      <c r="N472" s="899">
        <f>N473+N474+N475+N476</f>
        <v>219680.2</v>
      </c>
      <c r="O472" s="899">
        <f t="shared" ca="1" si="207"/>
        <v>18.805531396169044</v>
      </c>
      <c r="P472" s="899">
        <f t="shared" ca="1" si="208"/>
        <v>18.805531396169044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146340.20000000001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8340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IFERROR(__xludf.DUMMYFUNCTION("IMPORTRANGE(""https://docs.google.com/spreadsheets/d/1QqKyyYR6Q21VydFLVH3TRQUabQu_ym0Zz7PgGX0-kHA/edit?usp=sharing"",""แผน!FV38"")"),0)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IFERROR(__xludf.DUMMYFUNCTION("IMPORTRANGE(""https://docs.google.com/spreadsheets/d/1QqKyyYR6Q21VydFLVH3TRQUabQu_ym0Zz7PgGX0-kHA/edit?usp=sharing"",""แผน!FY38"")"),1170)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IFERROR(__xludf.DUMMYFUNCTION("IMPORTRANGE(""https://docs.google.com/spreadsheets/d/1QqKyyYR6Q21VydFLVH3TRQUabQu_ym0Zz7PgGX0-kHA/edit?usp=sharing"",""แผน!FZ38"")"),117)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IFERROR(__xludf.DUMMYFUNCTION("IMPORTRANGE(""https://docs.google.com/spreadsheets/d/1QqKyyYR6Q21VydFLVH3TRQUabQu_ym0Zz7PgGX0-kHA/edit?usp=sharing"",""แผน!GA38"")"),130)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IFERROR(__xludf.DUMMYFUNCTION("IMPORTRANGE(""https://docs.google.com/spreadsheets/d/1QqKyyYR6Q21VydFLVH3TRQUabQu_ym0Zz7PgGX0-kHA/edit?usp=sharing"",""แผน!GB38"")"),13)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IFERROR(__xludf.DUMMYFUNCTION("IMPORTRANGE(""https://docs.google.com/spreadsheets/d/1QqKyyYR6Q21VydFLVH3TRQUabQu_ym0Zz7PgGX0-kHA/edit?usp=sharing"",""แผน!GC38"")"),1)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IFERROR(__xludf.DUMMYFUNCTION("IMPORTRANGE(""https://docs.google.com/spreadsheets/d/1QqKyyYR6Q21VydFLVH3TRQUabQu_ym0Zz7PgGX0-kHA/edit?usp=sharing"",""แผน!FY38"")"),1170)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IFERROR(__xludf.DUMMYFUNCTION("IMPORTRANGE(""https://docs.google.com/spreadsheets/d/1QqKyyYR6Q21VydFLVH3TRQUabQu_ym0Zz7PgGX0-kHA/edit?usp=sharing"",""แผน!GA38"")"),130)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IFERROR(__xludf.DUMMYFUNCTION("IMPORTRANGE(""https://docs.google.com/spreadsheets/d/1QqKyyYR6Q21VydFLVH3TRQUabQu_ym0Zz7PgGX0-kHA/edit?usp=sharing"",""แผน!GQ38"")"),0)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IFERROR(__xludf.DUMMYFUNCTION("IMPORTRANGE(""https://docs.google.com/spreadsheets/d/1QqKyyYR6Q21VydFLVH3TRQUabQu_ym0Zz7PgGX0-kHA/edit?usp=sharing"",""แผน!GT38"")"),0)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IFERROR(__xludf.DUMMYFUNCTION("IMPORTRANGE(""https://docs.google.com/spreadsheets/d/1QqKyyYR6Q21VydFLVH3TRQUabQu_ym0Zz7PgGX0-kHA/edit?usp=sharing"",""แผน!GU38"")"),0)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IFERROR(__xludf.DUMMYFUNCTION("IMPORTRANGE(""https://docs.google.com/spreadsheets/d/1QqKyyYR6Q21VydFLVH3TRQUabQu_ym0Zz7PgGX0-kHA/edit?usp=sharing"",""แผน!GV38"")"),0)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IFERROR(__xludf.DUMMYFUNCTION("IMPORTRANGE(""https://docs.google.com/spreadsheets/d/1QqKyyYR6Q21VydFLVH3TRQUabQu_ym0Zz7PgGX0-kHA/edit?usp=sharing"",""แผน!GW38"")"),0)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IFERROR(__xludf.DUMMYFUNCTION("IMPORTRANGE(""https://docs.google.com/spreadsheets/d/1QqKyyYR6Q21VydFLVH3TRQUabQu_ym0Zz7PgGX0-kHA/edit?usp=sharing"",""แผน!GX38"")"),0)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IFERROR(__xludf.DUMMYFUNCTION("IMPORTRANGE(""https://docs.google.com/spreadsheets/d/1QqKyyYR6Q21VydFLVH3TRQUabQu_ym0Zz7PgGX0-kHA/edit?usp=sharing"",""แผน!GY38"")"),0)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IFERROR(__xludf.DUMMYFUNCTION("IMPORTRANGE(""https://docs.google.com/spreadsheets/d/1QqKyyYR6Q21VydFLVH3TRQUabQu_ym0Zz7PgGX0-kHA/edit?usp=sharing"",""แผน!GZ38"")"),0)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52289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542720</v>
      </c>
      <c r="M544" s="1004">
        <f t="shared" ca="1" si="236"/>
        <v>542720</v>
      </c>
      <c r="N544" s="1004">
        <f t="shared" si="236"/>
        <v>251172.5</v>
      </c>
      <c r="O544" s="1004">
        <f t="shared" ref="O544:O549" ca="1" si="237">IF(L544&gt;0,N544*100/L544,0)</f>
        <v>46.280310288915096</v>
      </c>
      <c r="P544" s="1004">
        <f t="shared" ref="P544:P549" ca="1" si="238">IF(M544&gt;0,N544*100/M544,0)</f>
        <v>46.280310288915096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542720</v>
      </c>
      <c r="M546" s="899">
        <f t="shared" ca="1" si="240"/>
        <v>542720</v>
      </c>
      <c r="N546" s="899">
        <f t="shared" si="240"/>
        <v>251172.5</v>
      </c>
      <c r="O546" s="899">
        <f t="shared" ca="1" si="237"/>
        <v>46.280310288915096</v>
      </c>
      <c r="P546" s="899">
        <f t="shared" ca="1" si="238"/>
        <v>46.280310288915096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542720</v>
      </c>
      <c r="M547" s="893">
        <f t="shared" ca="1" si="241"/>
        <v>542720</v>
      </c>
      <c r="N547" s="893">
        <f t="shared" si="241"/>
        <v>251172.5</v>
      </c>
      <c r="O547" s="893">
        <f t="shared" ca="1" si="237"/>
        <v>46.280310288915096</v>
      </c>
      <c r="P547" s="893">
        <f t="shared" ca="1" si="238"/>
        <v>46.280310288915096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IFERROR(__xludf.DUMMYFUNCTION("IMPORTRANGE(""https://docs.google.com/spreadsheets/d/1QqKyyYR6Q21VydFLVH3TRQUabQu_ym0Zz7PgGX0-kHA/edit?usp=sharing"",""แผน!HB38"")"),542720)</f>
        <v>542720</v>
      </c>
      <c r="M549" s="899">
        <f ca="1">L549</f>
        <v>542720</v>
      </c>
      <c r="N549" s="899">
        <f>N550+N551+N552+N553+N554</f>
        <v>251172.5</v>
      </c>
      <c r="O549" s="899">
        <f t="shared" ca="1" si="237"/>
        <v>46.280310288915096</v>
      </c>
      <c r="P549" s="899">
        <f t="shared" ca="1" si="238"/>
        <v>46.280310288915096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186172.5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IFERROR(__xludf.DUMMYFUNCTION("IMPORTRANGE(""https://docs.google.com/spreadsheets/d/1QqKyyYR6Q21VydFLVH3TRQUabQu_ym0Zz7PgGX0-kHA/edit?usp=sharing"",""แผน!HF38"")"),0)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52289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IFERROR(__xludf.DUMMYFUNCTION("IMPORTRANGE(""https://docs.google.com/spreadsheets/d/1QqKyyYR6Q21VydFLVH3TRQUabQu_ym0Zz7PgGX0-kHA/edit?usp=sharing"",""แผน!HH38"")"),52289)</f>
        <v>52289</v>
      </c>
      <c r="J560" s="1030">
        <f t="shared" ref="J560:J561" si="247">J562+J564+J566</f>
        <v>52289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IFERROR(__xludf.DUMMYFUNCTION("IMPORTRANGE(""https://docs.google.com/spreadsheets/d/1QqKyyYR6Q21VydFLVH3TRQUabQu_ym0Zz7PgGX0-kHA/edit?usp=sharing"",""แผน!HG38"")"),5734)</f>
        <v>5734</v>
      </c>
      <c r="J561" s="1030">
        <f t="shared" si="247"/>
        <v>5734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33275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4093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17713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1499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1301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142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IFERROR(__xludf.DUMMYFUNCTION("IMPORTRANGE(""https://docs.google.com/spreadsheets/d/1QqKyyYR6Q21VydFLVH3TRQUabQu_ym0Zz7PgGX0-kHA/edit?usp=sharing"",""แผน!HH38"")"),52289)</f>
        <v>52289</v>
      </c>
      <c r="J568" s="1031">
        <f t="shared" ref="J568:J569" si="248">J570+J572+J574</f>
        <v>52289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IFERROR(__xludf.DUMMYFUNCTION("IMPORTRANGE(""https://docs.google.com/spreadsheets/d/1QqKyyYR6Q21VydFLVH3TRQUabQu_ym0Zz7PgGX0-kHA/edit?usp=sharing"",""แผน!HG38"")"),5734)</f>
        <v>5734</v>
      </c>
      <c r="J569" s="1031">
        <f t="shared" si="248"/>
        <v>5734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38607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4489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12576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1119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1106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126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IFERROR(__xludf.DUMMYFUNCTION("IMPORTRANGE(""https://docs.google.com/spreadsheets/d/1QqKyyYR6Q21VydFLVH3TRQUabQu_ym0Zz7PgGX0-kHA/edit?usp=sharing"",""แผน!HH38"")"),52289)</f>
        <v>52289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IFERROR(__xludf.DUMMYFUNCTION("IMPORTRANGE(""https://docs.google.com/spreadsheets/d/1QqKyyYR6Q21VydFLVH3TRQUabQu_ym0Zz7PgGX0-kHA/edit?usp=sharing"",""แผน!HG38"")"),5734)</f>
        <v>5734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7857.35</v>
      </c>
      <c r="J592" s="1389">
        <f t="shared" si="253"/>
        <v>75</v>
      </c>
      <c r="K592" s="1390">
        <f t="shared" ref="K592:K594" ca="1" si="254">IF(I592&gt;0,J592*100/I592,0)</f>
        <v>0.95452028991962934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IFERROR(__xludf.DUMMYFUNCTION("IMPORTRANGE(""https://docs.google.com/spreadsheets/d/1QqKyyYR6Q21VydFLVH3TRQUabQu_ym0Zz7PgGX0-kHA/edit?usp=sharing"",""แผน!HJ38"")"),7857.35)</f>
        <v>7857.35</v>
      </c>
      <c r="J593" s="1030">
        <f t="shared" ref="J593:J594" si="255">J595+J603+J609</f>
        <v>75</v>
      </c>
      <c r="K593" s="1174">
        <f t="shared" ca="1" si="254"/>
        <v>0.95452028991962934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IFERROR(__xludf.DUMMYFUNCTION("IMPORTRANGE(""https://docs.google.com/spreadsheets/d/1QqKyyYR6Q21VydFLVH3TRQUabQu_ym0Zz7PgGX0-kHA/edit?usp=sharing"",""แผน!HI38"")"),657)</f>
        <v>657</v>
      </c>
      <c r="J594" s="1030">
        <f t="shared" si="255"/>
        <v>17</v>
      </c>
      <c r="K594" s="1174">
        <f t="shared" ca="1" si="254"/>
        <v>2.5875190258751903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74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16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56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13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18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3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1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1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1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1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IFERROR(__xludf.DUMMYFUNCTION("IMPORTRANGE(""https://docs.google.com/spreadsheets/d/1QqKyyYR6Q21VydFLVH3TRQUabQu_ym0Zz7PgGX0-kHA/edit?usp=sharing"",""แผน!HL38"")"),56)</f>
        <v>56</v>
      </c>
      <c r="J620" s="1429">
        <f t="shared" ref="J620:J621" si="260">J622+J624+J626</f>
        <v>44</v>
      </c>
      <c r="K620" s="1430">
        <f t="shared" ref="K620:K621" ca="1" si="261">IF(I620&gt;0,J620*100/I620,0)</f>
        <v>78.571428571428569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IFERROR(__xludf.DUMMYFUNCTION("IMPORTRANGE(""https://docs.google.com/spreadsheets/d/1QqKyyYR6Q21VydFLVH3TRQUabQu_ym0Zz7PgGX0-kHA/edit?usp=sharing"",""แผน!HK38"")"),4)</f>
        <v>4</v>
      </c>
      <c r="J621" s="1429">
        <f t="shared" si="260"/>
        <v>2</v>
      </c>
      <c r="K621" s="1430">
        <f t="shared" ca="1" si="261"/>
        <v>50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44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2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240</v>
      </c>
      <c r="J628" s="1438">
        <f t="shared" ca="1" si="262"/>
        <v>134</v>
      </c>
      <c r="K628" s="1439">
        <f ca="1">IF(I628&gt;0,J628*100/I628,0)</f>
        <v>55.833333333333336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501175</v>
      </c>
      <c r="M629" s="1032">
        <f t="shared" ca="1" si="263"/>
        <v>501175</v>
      </c>
      <c r="N629" s="1032">
        <f t="shared" si="263"/>
        <v>177323</v>
      </c>
      <c r="O629" s="1032">
        <f t="shared" ref="O629:O634" ca="1" si="264">IF(L629&gt;0,N629*100/L629,0)</f>
        <v>35.38145358407742</v>
      </c>
      <c r="P629" s="1032">
        <f t="shared" ref="P629:P634" ca="1" si="265">IF(M629&gt;0,N629*100/M629,0)</f>
        <v>35.38145358407742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501175</v>
      </c>
      <c r="M631" s="899">
        <f t="shared" ca="1" si="266"/>
        <v>501175</v>
      </c>
      <c r="N631" s="899">
        <f t="shared" si="266"/>
        <v>177323</v>
      </c>
      <c r="O631" s="899">
        <f t="shared" ca="1" si="264"/>
        <v>35.38145358407742</v>
      </c>
      <c r="P631" s="899">
        <f t="shared" ca="1" si="265"/>
        <v>35.38145358407742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501175</v>
      </c>
      <c r="M632" s="893">
        <f t="shared" ca="1" si="267"/>
        <v>501175</v>
      </c>
      <c r="N632" s="893">
        <f t="shared" si="267"/>
        <v>177323</v>
      </c>
      <c r="O632" s="893">
        <f t="shared" ca="1" si="264"/>
        <v>35.38145358407742</v>
      </c>
      <c r="P632" s="893">
        <f t="shared" ca="1" si="265"/>
        <v>35.38145358407742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IFERROR(__xludf.DUMMYFUNCTION("IMPORTRANGE(""https://docs.google.com/spreadsheets/d/1QqKyyYR6Q21VydFLVH3TRQUabQu_ym0Zz7PgGX0-kHA/edit?usp=sharing"",""แผน!HN38"")"),501175)</f>
        <v>501175</v>
      </c>
      <c r="M634" s="899">
        <f ca="1">L634</f>
        <v>501175</v>
      </c>
      <c r="N634" s="899">
        <f>N635+N636+N637+N638</f>
        <v>177323</v>
      </c>
      <c r="O634" s="899">
        <f t="shared" ca="1" si="264"/>
        <v>35.38145358407742</v>
      </c>
      <c r="P634" s="899">
        <f t="shared" ca="1" si="265"/>
        <v>35.38145358407742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516">
        <v>65000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112323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IFERROR(__xludf.DUMMYFUNCTION("IMPORTRANGE(""https://docs.google.com/spreadsheets/d/1QqKyyYR6Q21VydFLVH3TRQUabQu_ym0Zz7PgGX0-kHA/edit?usp=sharing"",""แผน!HQ38"")"),0)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IFERROR(__xludf.DUMMYFUNCTION("IMPORTRANGE(""https://docs.google.com/spreadsheets/d/1QqKyyYR6Q21VydFLVH3TRQUabQu_ym0Zz7PgGX0-kHA/edit?usp=sharing"",""แผน!HR38"")"),1)</f>
        <v>1</v>
      </c>
      <c r="J643" s="1024">
        <v>1</v>
      </c>
      <c r="K643" s="1010">
        <f t="shared" ref="K643:K652" ca="1" si="271">IF(I643&gt;0,J643*100/I643,0)</f>
        <v>100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IFERROR(__xludf.DUMMYFUNCTION("IMPORTRANGE(""https://docs.google.com/spreadsheets/d/1QqKyyYR6Q21VydFLVH3TRQUabQu_ym0Zz7PgGX0-kHA/edit?usp=sharing"",""แผน!HR38"")"),1)</f>
        <v>1</v>
      </c>
      <c r="J644" s="1024">
        <v>1</v>
      </c>
      <c r="K644" s="1010">
        <f t="shared" ca="1" si="271"/>
        <v>100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IFERROR(__xludf.DUMMYFUNCTION("IMPORTRANGE(""https://docs.google.com/spreadsheets/d/1XWAQStnk-4SwqDmLtmXYiTMKHgktTP8We1SCoS47DrQ/edit?usp=sharing"",""จัดที่ดิน!AS38"")"),0)</f>
        <v>0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IFERROR(__xludf.DUMMYFUNCTION("IMPORTRANGE(""https://docs.google.com/spreadsheets/d/1XWAQStnk-4SwqDmLtmXYiTMKHgktTP8We1SCoS47DrQ/edit?usp=sharing"",""จัดที่ดิน!AT38"")"),0)</f>
        <v>0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IFERROR(__xludf.DUMMYFUNCTION("IMPORTRANGE(""https://docs.google.com/spreadsheets/d/1QqKyyYR6Q21VydFLVH3TRQUabQu_ym0Zz7PgGX0-kHA/edit?usp=sharing"",""แผน!HS38"")"),240)</f>
        <v>240</v>
      </c>
      <c r="J647" s="892">
        <f ca="1">IFERROR(__xludf.DUMMYFUNCTION("IMPORTRANGE(""https://docs.google.com/spreadsheets/d/1XWAQStnk-4SwqDmLtmXYiTMKHgktTP8We1SCoS47DrQ/edit?usp=sharing"",""จัดที่ดิน!AU38"")"),136)</f>
        <v>136</v>
      </c>
      <c r="K647" s="1010">
        <f t="shared" ca="1" si="271"/>
        <v>56.666666666666664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IFERROR(__xludf.DUMMYFUNCTION("IMPORTRANGE(""https://docs.google.com/spreadsheets/d/1QqKyyYR6Q21VydFLVH3TRQUabQu_ym0Zz7PgGX0-kHA/edit?usp=sharing"",""แผน!HS38"")"),240)</f>
        <v>240</v>
      </c>
      <c r="J649" s="892">
        <f ca="1">IFERROR(__xludf.DUMMYFUNCTION("IMPORTRANGE(""https://docs.google.com/spreadsheets/d/1XWAQStnk-4SwqDmLtmXYiTMKHgktTP8We1SCoS47DrQ/edit?usp=sharing"",""จัดที่ดิน!AW38"")"),135)</f>
        <v>135</v>
      </c>
      <c r="K649" s="1010">
        <f t="shared" ca="1" si="271"/>
        <v>56.25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IFERROR(__xludf.DUMMYFUNCTION("IMPORTRANGE(""https://docs.google.com/spreadsheets/d/1XWAQStnk-4SwqDmLtmXYiTMKHgktTP8We1SCoS47DrQ/edit?usp=sharing"",""จัดที่ดิน!AX38"")"),67.12)</f>
        <v>67.12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IFERROR(__xludf.DUMMYFUNCTION("IMPORTRANGE(""https://docs.google.com/spreadsheets/d/1QqKyyYR6Q21VydFLVH3TRQUabQu_ym0Zz7PgGX0-kHA/edit?usp=sharing"",""แผน!HS38"")"),240)</f>
        <v>240</v>
      </c>
      <c r="J651" s="892">
        <f ca="1">IFERROR(__xludf.DUMMYFUNCTION("IMPORTRANGE(""https://docs.google.com/spreadsheets/d/1XWAQStnk-4SwqDmLtmXYiTMKHgktTP8We1SCoS47DrQ/edit?usp=sharing"",""จัดที่ดิน!AY38"")"),134)</f>
        <v>134</v>
      </c>
      <c r="K651" s="1010">
        <f t="shared" ca="1" si="271"/>
        <v>55.833333333333336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IFERROR(__xludf.DUMMYFUNCTION("IMPORTRANGE(""https://docs.google.com/spreadsheets/d/1XWAQStnk-4SwqDmLtmXYiTMKHgktTP8We1SCoS47DrQ/edit?usp=sharing"",""จัดที่ดิน!AZ38"")"),66.5475)</f>
        <v>66.547499999999999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5180</v>
      </c>
      <c r="O655" s="1032">
        <f t="shared" ref="O655:O660" ca="1" si="274">IF(L655&gt;0,N655*100/L655,0)</f>
        <v>33.205128205128204</v>
      </c>
      <c r="P655" s="1032">
        <f t="shared" ref="P655:P660" ca="1" si="275">IF(M655&gt;0,N655*100/M655,0)</f>
        <v>33.205128205128204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5180</v>
      </c>
      <c r="O657" s="899">
        <f t="shared" ca="1" si="274"/>
        <v>33.205128205128204</v>
      </c>
      <c r="P657" s="899">
        <f t="shared" ca="1" si="275"/>
        <v>33.205128205128204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5180</v>
      </c>
      <c r="O658" s="893">
        <f t="shared" ca="1" si="274"/>
        <v>33.205128205128204</v>
      </c>
      <c r="P658" s="893">
        <f t="shared" ca="1" si="275"/>
        <v>33.205128205128204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IFERROR(__xludf.DUMMYFUNCTION("IMPORTRANGE(""https://docs.google.com/spreadsheets/d/1QqKyyYR6Q21VydFLVH3TRQUabQu_ym0Zz7PgGX0-kHA/edit?usp=sharing"",""แผน!HV38"")"),15600)</f>
        <v>15600</v>
      </c>
      <c r="M660" s="899">
        <f ca="1">L660</f>
        <v>15600</v>
      </c>
      <c r="N660" s="899">
        <f>N661+N662+N663+N664</f>
        <v>5180</v>
      </c>
      <c r="O660" s="899">
        <f t="shared" ca="1" si="274"/>
        <v>33.205128205128204</v>
      </c>
      <c r="P660" s="899">
        <f t="shared" ca="1" si="275"/>
        <v>33.205128205128204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5180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IFERROR(__xludf.DUMMYFUNCTION("IMPORTRANGE(""https://docs.google.com/spreadsheets/d/1QqKyyYR6Q21VydFLVH3TRQUabQu_ym0Zz7PgGX0-kHA/edit?usp=sharing"",""แผน!IA38"")"),100)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IFERROR(__xludf.DUMMYFUNCTION("IMPORTRANGE(""https://docs.google.com/spreadsheets/d/1QqKyyYR6Q21VydFLVH3TRQUabQu_ym0Zz7PgGX0-kHA/edit?usp=sharing"",""แผน!HZ38"")"),6)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IFERROR(__xludf.DUMMYFUNCTION("IMPORTRANGE(""https://docs.google.com/spreadsheets/d/1QqKyyYR6Q21VydFLVH3TRQUabQu_ym0Zz7PgGX0-kHA/edit?usp=sharing"",""แผน!HZ38"")"),6)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517">
        <v>77.23</v>
      </c>
      <c r="K672" s="893">
        <f t="shared" ref="K672:K675" ca="1" si="281">IF(I$669&gt;0,J672*100/I$669,0)</f>
        <v>77.23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517">
        <v>77.23</v>
      </c>
      <c r="K673" s="893">
        <f t="shared" ca="1" si="281"/>
        <v>77.23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IFERROR(__xludf.DUMMYFUNCTION("IMPORTRANGE(""https://docs.google.com/spreadsheets/d/1QqKyyYR6Q21VydFLVH3TRQUabQu_ym0Zz7PgGX0-kHA/edit?usp=sharing"",""แผน!IB38"")"),0)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69210</v>
      </c>
      <c r="M685" s="1032">
        <f t="shared" ca="1" si="282"/>
        <v>69210</v>
      </c>
      <c r="N685" s="1032">
        <f t="shared" si="282"/>
        <v>36729</v>
      </c>
      <c r="O685" s="1032">
        <f t="shared" ref="O685:O688" ca="1" si="283">IF(L685&gt;0,N685*100/L685,0)</f>
        <v>53.068920676202858</v>
      </c>
      <c r="P685" s="1032">
        <f t="shared" ref="P685:P688" ca="1" si="284">IF(M685&gt;0,N685*100/M685,0)</f>
        <v>53.068920676202858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69210</v>
      </c>
      <c r="M687" s="899">
        <f t="shared" ca="1" si="285"/>
        <v>69210</v>
      </c>
      <c r="N687" s="899">
        <f t="shared" si="285"/>
        <v>36729</v>
      </c>
      <c r="O687" s="899">
        <f t="shared" ca="1" si="283"/>
        <v>53.068920676202858</v>
      </c>
      <c r="P687" s="899">
        <f t="shared" ca="1" si="284"/>
        <v>53.068920676202858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69210</v>
      </c>
      <c r="M688" s="893">
        <f t="shared" ca="1" si="286"/>
        <v>69210</v>
      </c>
      <c r="N688" s="893">
        <f t="shared" si="286"/>
        <v>36729</v>
      </c>
      <c r="O688" s="893">
        <f t="shared" ca="1" si="283"/>
        <v>53.068920676202858</v>
      </c>
      <c r="P688" s="893">
        <f t="shared" ca="1" si="284"/>
        <v>53.068920676202858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IFERROR(__xludf.DUMMYFUNCTION("IMPORTRANGE(""https://docs.google.com/spreadsheets/d/1QqKyyYR6Q21VydFLVH3TRQUabQu_ym0Zz7PgGX0-kHA/edit?usp=sharing"",""แผน!HW38"")"),69210)</f>
        <v>69210</v>
      </c>
      <c r="M690" s="899">
        <f ca="1">L690</f>
        <v>69210</v>
      </c>
      <c r="N690" s="899">
        <f>N691+N692+N693+N694</f>
        <v>36729</v>
      </c>
      <c r="O690" s="899">
        <f ca="1">IF(L690&gt;0,N690*100/L690,0)</f>
        <v>53.068920676202858</v>
      </c>
      <c r="P690" s="899">
        <f ca="1">IF(M690&gt;0,N690*100/M690,0)</f>
        <v>53.068920676202858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36729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IFERROR(__xludf.DUMMYFUNCTION("IMPORTRANGE(""https://docs.google.com/spreadsheets/d/1QqKyyYR6Q21VydFLVH3TRQUabQu_ym0Zz7PgGX0-kHA/edit?usp=sharing"",""แผน!IC38"")"),0)</f>
        <v>0</v>
      </c>
      <c r="J699" s="892">
        <f ca="1">IFERROR(__xludf.DUMMYFUNCTION("IMPORTRANGE(""https://docs.google.com/spreadsheets/d/1XWAQStnk-4SwqDmLtmXYiTMKHgktTP8We1SCoS47DrQ/edit?usp=sharing"",""จัดที่ดิน!BB38"")"),0)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IFERROR(__xludf.DUMMYFUNCTION("IMPORTRANGE(""https://docs.google.com/spreadsheets/d/1QqKyyYR6Q21VydFLVH3TRQUabQu_ym0Zz7PgGX0-kHA/edit?usp=sharing"",""แผน!ID38"")"),0)</f>
        <v>0</v>
      </c>
      <c r="J700" s="892">
        <f ca="1">IFERROR(__xludf.DUMMYFUNCTION("IMPORTRANGE(""https://docs.google.com/spreadsheets/d/1XWAQStnk-4SwqDmLtmXYiTMKHgktTP8We1SCoS47DrQ/edit?usp=sharing"",""จัดที่ดิน!BD38"")"),0)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IFERROR(__xludf.DUMMYFUNCTION("IMPORTRANGE(""https://docs.google.com/spreadsheets/d/1QqKyyYR6Q21VydFLVH3TRQUabQu_ym0Zz7PgGX0-kHA/edit?usp=sharing"",""แผน!IE38"")"),10)</f>
        <v>10</v>
      </c>
      <c r="J701" s="1031">
        <f>J704+J707</f>
        <v>75</v>
      </c>
      <c r="K701" s="1032">
        <f t="shared" ca="1" si="290"/>
        <v>750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8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12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IFERROR(__xludf.DUMMYFUNCTION("IMPORTRANGE(""https://docs.google.com/spreadsheets/d/1QqKyyYR6Q21VydFLVH3TRQUabQu_ym0Zz7PgGX0-kHA/edit?usp=sharing"",""แผน!IF38"")"),10)</f>
        <v>10</v>
      </c>
      <c r="J704" s="1024">
        <v>75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IFERROR(__xludf.DUMMYFUNCTION("IMPORTRANGE(""https://docs.google.com/spreadsheets/d/1QqKyyYR6Q21VydFLVH3TRQUabQu_ym0Zz7PgGX0-kHA/edit?usp=sharing"",""แผน!IG38"")"),0)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IFERROR(__xludf.DUMMYFUNCTION("IMPORTRANGE(""https://docs.google.com/spreadsheets/d/1QqKyyYR6Q21VydFLVH3TRQUabQu_ym0Zz7PgGX0-kHA/edit?usp=sharing"",""แผน!IH38"")"),0)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IFERROR(__xludf.DUMMYFUNCTION("IMPORTRANGE(""https://docs.google.com/spreadsheets/d/1XWAQStnk-4SwqDmLtmXYiTMKHgktTP8We1SCoS47DrQ/edit?usp=sharing"",""จัดที่ดิน!BF38"")"),0)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IFERROR(__xludf.DUMMYFUNCTION("IMPORTRANGE(""https://docs.google.com/spreadsheets/d/1XWAQStnk-4SwqDmLtmXYiTMKHgktTP8We1SCoS47DrQ/edit?usp=sharing"",""จัดที่ดิน!BG38"")"),0)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IFERROR(__xludf.DUMMYFUNCTION("IMPORTRANGE(""https://docs.google.com/spreadsheets/d/1QqKyyYR6Q21VydFLVH3TRQUabQu_ym0Zz7PgGX0-kHA/edit?usp=sharing"",""แผน!II38"")"),69)</f>
        <v>69</v>
      </c>
      <c r="J720" s="892">
        <f ca="1">IFERROR(__xludf.DUMMYFUNCTION("IMPORTRANGE(""https://docs.google.com/spreadsheets/d/1XWAQStnk-4SwqDmLtmXYiTMKHgktTP8We1SCoS47DrQ/edit?usp=sharing"",""จัดที่ดิน!BH38"")"),0)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IFERROR(__xludf.DUMMYFUNCTION("IMPORTRANGE(""https://docs.google.com/spreadsheets/d/1QqKyyYR6Q21VydFLVH3TRQUabQu_ym0Zz7PgGX0-kHA/edit?usp=sharing"",""แผน!IJ38"")"),2)</f>
        <v>2</v>
      </c>
      <c r="J721" s="1031">
        <f ca="1">J723+J726</f>
        <v>2</v>
      </c>
      <c r="K721" s="1032">
        <f t="shared" ca="1" si="291"/>
        <v>100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IFERROR(__xludf.DUMMYFUNCTION("IMPORTRANGE(""https://docs.google.com/spreadsheets/d/1QqKyyYR6Q21VydFLVH3TRQUabQu_ym0Zz7PgGX0-kHA/edit?usp=sharing"",""แผน!IK38"")"),10)</f>
        <v>10</v>
      </c>
      <c r="J722" s="1031">
        <f ca="1">J725+J728</f>
        <v>11.01</v>
      </c>
      <c r="K722" s="1032">
        <f t="shared" ca="1" si="291"/>
        <v>110.1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IFERROR(__xludf.DUMMYFUNCTION("IMPORTRANGE(""https://docs.google.com/spreadsheets/d/1QqKyyYR6Q21VydFLVH3TRQUabQu_ym0Zz7PgGX0-kHA/edit?usp=sharing"",""แผน!IL38"")"),2)</f>
        <v>2</v>
      </c>
      <c r="J723" s="892">
        <f ca="1">IFERROR(__xludf.DUMMYFUNCTION("IMPORTRANGE(""https://docs.google.com/spreadsheets/d/1XWAQStnk-4SwqDmLtmXYiTMKHgktTP8We1SCoS47DrQ/edit?usp=sharing"",""จัดที่ดิน!BM38"")"),2)</f>
        <v>2</v>
      </c>
      <c r="K723" s="893">
        <f t="shared" ca="1" si="291"/>
        <v>100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IFERROR(__xludf.DUMMYFUNCTION("IMPORTRANGE(""https://docs.google.com/spreadsheets/d/1XWAQStnk-4SwqDmLtmXYiTMKHgktTP8We1SCoS47DrQ/edit?usp=sharing"",""จัดที่ดิน!BN38"")"),2)</f>
        <v>2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IFERROR(__xludf.DUMMYFUNCTION("IMPORTRANGE(""https://docs.google.com/spreadsheets/d/1QqKyyYR6Q21VydFLVH3TRQUabQu_ym0Zz7PgGX0-kHA/edit?usp=sharing"",""แผน!IM38"")"),10)</f>
        <v>10</v>
      </c>
      <c r="J725" s="892">
        <f ca="1">IFERROR(__xludf.DUMMYFUNCTION("IMPORTRANGE(""https://docs.google.com/spreadsheets/d/1XWAQStnk-4SwqDmLtmXYiTMKHgktTP8We1SCoS47DrQ/edit?usp=sharing"",""จัดที่ดิน!BO38"")"),11.01)</f>
        <v>11.01</v>
      </c>
      <c r="K725" s="893">
        <f t="shared" ref="K725:K726" ca="1" si="292">IF(I725&gt;0,J725*100/I725,0)</f>
        <v>110.1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IFERROR(__xludf.DUMMYFUNCTION("IMPORTRANGE(""https://docs.google.com/spreadsheets/d/1QqKyyYR6Q21VydFLVH3TRQUabQu_ym0Zz7PgGX0-kHA/edit?usp=sharing"",""แผน!IN38"")"),0)</f>
        <v>0</v>
      </c>
      <c r="J726" s="892">
        <f ca="1">IFERROR(__xludf.DUMMYFUNCTION("IMPORTRANGE(""https://docs.google.com/spreadsheets/d/1XWAQStnk-4SwqDmLtmXYiTMKHgktTP8We1SCoS47DrQ/edit?usp=sharing"",""จัดที่ดิน!BR38"")"),0)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IFERROR(__xludf.DUMMYFUNCTION("IMPORTRANGE(""https://docs.google.com/spreadsheets/d/1XWAQStnk-4SwqDmLtmXYiTMKHgktTP8We1SCoS47DrQ/edit?usp=sharing"",""จัดที่ดิน!BS38"")"),0)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IFERROR(__xludf.DUMMYFUNCTION("IMPORTRANGE(""https://docs.google.com/spreadsheets/d/1QqKyyYR6Q21VydFLVH3TRQUabQu_ym0Zz7PgGX0-kHA/edit?usp=sharing"",""แผน!IO38"")"),0)</f>
        <v>0</v>
      </c>
      <c r="J728" s="892">
        <f ca="1">IFERROR(__xludf.DUMMYFUNCTION("IMPORTRANGE(""https://docs.google.com/spreadsheets/d/1XWAQStnk-4SwqDmLtmXYiTMKHgktTP8We1SCoS47DrQ/edit?usp=sharing"",""จัดที่ดิน!BT38"")"),0)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IFERROR(__xludf.DUMMYFUNCTION("IMPORTRANGE(""https://docs.google.com/spreadsheets/d/1QqKyyYR6Q21VydFLVH3TRQUabQu_ym0Zz7PgGX0-kHA/edit?usp=sharing"",""แผน!IP38"")"),657)</f>
        <v>657</v>
      </c>
      <c r="J729" s="1031">
        <f>J732+J735</f>
        <v>333</v>
      </c>
      <c r="K729" s="1032">
        <f t="shared" ca="1" si="293"/>
        <v>50.684931506849317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46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60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518">
        <v>333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IFERROR(__xludf.DUMMYFUNCTION("IMPORTRANGE(""https://docs.google.com/spreadsheets/d/1QqKyyYR6Q21VydFLVH3TRQUabQu_ym0Zz7PgGX0-kHA/edit?usp=sharing"",""แผน!JJ38"")"),0)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IFERROR(__xludf.DUMMYFUNCTION("IMPORTRANGE(""https://docs.google.com/spreadsheets/d/1QqKyyYR6Q21VydFLVH3TRQUabQu_ym0Zz7PgGX0-kHA/edit?usp=sharing"",""แผน!JN38"")"),0)</f>
        <v>0</v>
      </c>
      <c r="J800" s="1009">
        <f ca="1">IFERROR(__xludf.DUMMYFUNCTION("IMPORTRANGE(""https://docs.google.com/spreadsheets/d/1MaWodYyGHDf7siQLGxnXhG4mBNTNIuy296niS2xXulU/edit?usp=sharing"",""RTK!H38"")"),0)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IFERROR(__xludf.DUMMYFUNCTION("IMPORTRANGE(""https://docs.google.com/spreadsheets/d/1MaWodYyGHDf7siQLGxnXhG4mBNTNIuy296niS2xXulU/edit?usp=sharing"",""RTK!I38"")"),0)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892">
        <f ca="1">IFERROR(__xludf.DUMMYFUNCTION("IMPORTRANGE(""https://docs.google.com/spreadsheets/d/19vJNZY_5yjcGF2XGBMNZRCAIB0Kwfpjp8YEOfu-bneM/edit?usp=sharing"",""งานกองทุน!F38"")"),2001895.15)</f>
        <v>2001895.15</v>
      </c>
      <c r="K821" s="893">
        <f t="shared" ref="K821:K828" ca="1" si="335">IF(I821&gt;0,J821*100/I821,0)</f>
        <v>39.756558873007037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IFERROR(__xludf.DUMMYFUNCTION("IMPORTRANGE(""https://docs.google.com/spreadsheets/d/19vJNZY_5yjcGF2XGBMNZRCAIB0Kwfpjp8YEOfu-bneM/edit?usp=sharing"",""งานกองทุน!C38"")"),294)</f>
        <v>294</v>
      </c>
      <c r="J822" s="892">
        <f ca="1">IFERROR(__xludf.DUMMYFUNCTION("IMPORTRANGE(""https://docs.google.com/spreadsheets/d/19vJNZY_5yjcGF2XGBMNZRCAIB0Kwfpjp8YEOfu-bneM/edit?usp=sharing"",""งานกองทุน!E38"")"),115)</f>
        <v>115</v>
      </c>
      <c r="K822" s="893">
        <f t="shared" ca="1" si="335"/>
        <v>39.115646258503403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892">
        <f ca="1">IFERROR(__xludf.DUMMYFUNCTION("IMPORTRANGE(""https://docs.google.com/spreadsheets/d/19vJNZY_5yjcGF2XGBMNZRCAIB0Kwfpjp8YEOfu-bneM/edit?usp=sharing"",""งานกองทุน!K38"")"),811872.64)</f>
        <v>811872.64</v>
      </c>
      <c r="K823" s="893">
        <f t="shared" ca="1" si="335"/>
        <v>29.493413053214621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IFERROR(__xludf.DUMMYFUNCTION("IMPORTRANGE(""https://docs.google.com/spreadsheets/d/19vJNZY_5yjcGF2XGBMNZRCAIB0Kwfpjp8YEOfu-bneM/edit?usp=sharing"",""งานกองทุน!H38"")"),134)</f>
        <v>134</v>
      </c>
      <c r="J824" s="892">
        <f ca="1">IFERROR(__xludf.DUMMYFUNCTION("IMPORTRANGE(""https://docs.google.com/spreadsheets/d/19vJNZY_5yjcGF2XGBMNZRCAIB0Kwfpjp8YEOfu-bneM/edit?usp=sharing"",""งานกองทุน!J38"")"),70)</f>
        <v>70</v>
      </c>
      <c r="K824" s="893">
        <f t="shared" ca="1" si="335"/>
        <v>52.238805970149251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892">
        <f ca="1">IFERROR(__xludf.DUMMYFUNCTION("IMPORTRANGE(""https://docs.google.com/spreadsheets/d/19vJNZY_5yjcGF2XGBMNZRCAIB0Kwfpjp8YEOfu-bneM/edit?usp=sharing"",""งานกองทุน!P38"")"),865560.14)</f>
        <v>865560.14</v>
      </c>
      <c r="K825" s="893">
        <f t="shared" ca="1" si="335"/>
        <v>35.269756300513336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IFERROR(__xludf.DUMMYFUNCTION("IMPORTRANGE(""https://docs.google.com/spreadsheets/d/19vJNZY_5yjcGF2XGBMNZRCAIB0Kwfpjp8YEOfu-bneM/edit?usp=sharing"",""งานกองทุน!M38"")"),234)</f>
        <v>234</v>
      </c>
      <c r="J826" s="892">
        <f ca="1">IFERROR(__xludf.DUMMYFUNCTION("IMPORTRANGE(""https://docs.google.com/spreadsheets/d/19vJNZY_5yjcGF2XGBMNZRCAIB0Kwfpjp8YEOfu-bneM/edit?usp=sharing"",""งานกองทุน!O38"")"),148)</f>
        <v>148</v>
      </c>
      <c r="K826" s="893">
        <f t="shared" ca="1" si="335"/>
        <v>63.247863247863251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IFERROR(__xludf.DUMMYFUNCTION("IMPORTRANGE(""https://docs.google.com/spreadsheets/d/19vJNZY_5yjcGF2XGBMNZRCAIB0Kwfpjp8YEOfu-bneM/edit?usp=sharing"",""งานกองทุน!S38"")"),3950000)</f>
        <v>3950000</v>
      </c>
      <c r="J827" s="892">
        <f ca="1">IFERROR(__xludf.DUMMYFUNCTION("IMPORTRANGE(""https://docs.google.com/spreadsheets/d/19vJNZY_5yjcGF2XGBMNZRCAIB0Kwfpjp8YEOfu-bneM/edit?usp=sharing"",""งานกองทุน!U38"")"),2000000)</f>
        <v>2000000</v>
      </c>
      <c r="K827" s="893">
        <f t="shared" ca="1" si="335"/>
        <v>50.632911392405063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IFERROR(__xludf.DUMMYFUNCTION("IMPORTRANGE(""https://docs.google.com/spreadsheets/d/19vJNZY_5yjcGF2XGBMNZRCAIB0Kwfpjp8YEOfu-bneM/edit?usp=sharing"",""งานกองทุน!R38"")"),158)</f>
        <v>158</v>
      </c>
      <c r="J828" s="1149">
        <f ca="1">IFERROR(__xludf.DUMMYFUNCTION("IMPORTRANGE(""https://docs.google.com/spreadsheets/d/19vJNZY_5yjcGF2XGBMNZRCAIB0Kwfpjp8YEOfu-bneM/edit?usp=sharing"",""งานกองทุน!T38"")"),79)</f>
        <v>79</v>
      </c>
      <c r="K828" s="1251">
        <f t="shared" ca="1" si="335"/>
        <v>50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1E8D-B1EB-4740-B811-8AADB3A0DDE3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6783741</v>
      </c>
      <c r="M8" s="879">
        <f t="shared" ca="1" si="0"/>
        <v>6060888</v>
      </c>
      <c r="N8" s="879">
        <f t="shared" ca="1" si="0"/>
        <v>3177233.83</v>
      </c>
      <c r="O8" s="879">
        <f t="shared" ref="O8:O16" ca="1" si="1">IF(L8&gt;0,N8*100/L8,0)</f>
        <v>46.836013196848171</v>
      </c>
      <c r="P8" s="879">
        <f t="shared" ref="P8:P16" ca="1" si="2">IF(M8&gt;0,N8*100/M8,0)</f>
        <v>52.421919527303587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6783741</v>
      </c>
      <c r="M10" s="886">
        <f t="shared" ca="1" si="3"/>
        <v>6060888</v>
      </c>
      <c r="N10" s="886">
        <f t="shared" ca="1" si="3"/>
        <v>3177233.83</v>
      </c>
      <c r="O10" s="886">
        <f t="shared" ca="1" si="1"/>
        <v>46.836013196848171</v>
      </c>
      <c r="P10" s="886">
        <f t="shared" ca="1" si="2"/>
        <v>52.421919527303587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6202741</v>
      </c>
      <c r="M11" s="893">
        <f t="shared" ca="1" si="4"/>
        <v>5479888</v>
      </c>
      <c r="N11" s="893">
        <f t="shared" ca="1" si="4"/>
        <v>2596233.83</v>
      </c>
      <c r="O11" s="893">
        <f t="shared" ca="1" si="1"/>
        <v>41.856234687213281</v>
      </c>
      <c r="P11" s="893">
        <f t="shared" ca="1" si="2"/>
        <v>47.377498043755637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6202741</v>
      </c>
      <c r="M13" s="899">
        <f t="shared" ca="1" si="5"/>
        <v>5479888</v>
      </c>
      <c r="N13" s="899">
        <f t="shared" ca="1" si="5"/>
        <v>2596233.83</v>
      </c>
      <c r="O13" s="899">
        <f t="shared" ca="1" si="1"/>
        <v>41.856234687213281</v>
      </c>
      <c r="P13" s="899">
        <f t="shared" ca="1" si="2"/>
        <v>47.377498043755637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581000</v>
      </c>
      <c r="M14" s="893">
        <f t="shared" ca="1" si="6"/>
        <v>581000</v>
      </c>
      <c r="N14" s="893">
        <f t="shared" ca="1" si="6"/>
        <v>581000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581000</v>
      </c>
      <c r="M16" s="905">
        <f t="shared" ca="1" si="7"/>
        <v>581000</v>
      </c>
      <c r="N16" s="905">
        <f t="shared" ca="1" si="7"/>
        <v>581000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4351011</v>
      </c>
      <c r="M18" s="879">
        <f t="shared" ca="1" si="8"/>
        <v>3629836</v>
      </c>
      <c r="N18" s="879">
        <f t="shared" ca="1" si="8"/>
        <v>2486649.4299999997</v>
      </c>
      <c r="O18" s="879">
        <f t="shared" ref="O18:O26" ca="1" si="9">IF(L18&gt;0,N18*100/L18,0)</f>
        <v>57.151072015216684</v>
      </c>
      <c r="P18" s="879">
        <f t="shared" ref="P18:P26" ca="1" si="10">IF(M18&gt;0,N18*100/M18,0)</f>
        <v>68.505834147878844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4351011</v>
      </c>
      <c r="M20" s="886">
        <f t="shared" ca="1" si="11"/>
        <v>3629836</v>
      </c>
      <c r="N20" s="886">
        <f t="shared" ca="1" si="11"/>
        <v>2486649.4299999997</v>
      </c>
      <c r="O20" s="886">
        <f t="shared" ca="1" si="9"/>
        <v>57.151072015216684</v>
      </c>
      <c r="P20" s="886">
        <f t="shared" ca="1" si="10"/>
        <v>68.505834147878844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3770011</v>
      </c>
      <c r="M21" s="893">
        <f t="shared" ca="1" si="12"/>
        <v>3048836</v>
      </c>
      <c r="N21" s="893">
        <f t="shared" ca="1" si="12"/>
        <v>1905649.43</v>
      </c>
      <c r="O21" s="893">
        <f t="shared" ca="1" si="9"/>
        <v>50.547582752411067</v>
      </c>
      <c r="P21" s="893">
        <f t="shared" ca="1" si="10"/>
        <v>62.504163228195942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3770011</v>
      </c>
      <c r="M23" s="899">
        <f t="shared" ca="1" si="13"/>
        <v>3048836</v>
      </c>
      <c r="N23" s="899">
        <f t="shared" ca="1" si="13"/>
        <v>1905649.43</v>
      </c>
      <c r="O23" s="899">
        <f t="shared" ca="1" si="9"/>
        <v>50.547582752411067</v>
      </c>
      <c r="P23" s="899">
        <f t="shared" ca="1" si="10"/>
        <v>62.504163228195942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581000</v>
      </c>
      <c r="M24" s="893">
        <f t="shared" ca="1" si="14"/>
        <v>581000</v>
      </c>
      <c r="N24" s="893">
        <f t="shared" ca="1" si="14"/>
        <v>581000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581000</v>
      </c>
      <c r="M26" s="905">
        <f t="shared" ca="1" si="15"/>
        <v>581000</v>
      </c>
      <c r="N26" s="905">
        <f t="shared" ca="1" si="15"/>
        <v>581000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2432730</v>
      </c>
      <c r="M28" s="879">
        <f t="shared" ca="1" si="16"/>
        <v>2431052</v>
      </c>
      <c r="N28" s="879">
        <f t="shared" si="16"/>
        <v>690584.4</v>
      </c>
      <c r="O28" s="879">
        <f t="shared" ref="O28:O37" ca="1" si="17">IF(L28&gt;0,N28*100/L28,0)</f>
        <v>28.387219296839355</v>
      </c>
      <c r="P28" s="879">
        <f t="shared" ref="P28:P37" ca="1" si="18">IF(M28&gt;0,N28*100/M28,0)</f>
        <v>28.406813182112106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2432730</v>
      </c>
      <c r="M30" s="886">
        <f t="shared" ca="1" si="19"/>
        <v>2431052</v>
      </c>
      <c r="N30" s="886">
        <f t="shared" si="19"/>
        <v>690584.4</v>
      </c>
      <c r="O30" s="886">
        <f t="shared" ca="1" si="17"/>
        <v>28.387219296839355</v>
      </c>
      <c r="P30" s="886">
        <f t="shared" ca="1" si="18"/>
        <v>28.406813182112106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2432730</v>
      </c>
      <c r="M31" s="893">
        <f t="shared" ca="1" si="20"/>
        <v>2431052</v>
      </c>
      <c r="N31" s="893">
        <f t="shared" si="20"/>
        <v>690584.4</v>
      </c>
      <c r="O31" s="893">
        <f t="shared" ca="1" si="17"/>
        <v>28.387219296839355</v>
      </c>
      <c r="P31" s="893">
        <f t="shared" ca="1" si="18"/>
        <v>28.406813182112106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2432730</v>
      </c>
      <c r="M33" s="899">
        <f t="shared" ca="1" si="21"/>
        <v>2431052</v>
      </c>
      <c r="N33" s="899">
        <f t="shared" si="21"/>
        <v>690584.4</v>
      </c>
      <c r="O33" s="899">
        <f t="shared" ca="1" si="17"/>
        <v>28.387219296839355</v>
      </c>
      <c r="P33" s="899">
        <f t="shared" ca="1" si="18"/>
        <v>28.406813182112106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4351011</v>
      </c>
      <c r="M37" s="912">
        <f t="shared" ca="1" si="24"/>
        <v>3629836</v>
      </c>
      <c r="N37" s="912">
        <f t="shared" ca="1" si="24"/>
        <v>2486649.4299999997</v>
      </c>
      <c r="O37" s="912">
        <f t="shared" ca="1" si="17"/>
        <v>57.151072015216684</v>
      </c>
      <c r="P37" s="912">
        <f t="shared" ca="1" si="18"/>
        <v>68.505834147878844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514296</v>
      </c>
      <c r="M41" s="938">
        <f t="shared" ca="1" si="25"/>
        <v>529676</v>
      </c>
      <c r="N41" s="938">
        <f t="shared" ca="1" si="25"/>
        <v>293633</v>
      </c>
      <c r="O41" s="938">
        <f t="shared" ref="O41:O49" ca="1" si="26">IF(L41&gt;0,N41*100/L41,0)</f>
        <v>57.094163672282107</v>
      </c>
      <c r="P41" s="938">
        <f t="shared" ref="P41:P49" ca="1" si="27">IF(M41&gt;0,N41*100/M41,0)</f>
        <v>55.43634221675137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514296</v>
      </c>
      <c r="M43" s="944">
        <f t="shared" ca="1" si="28"/>
        <v>529676</v>
      </c>
      <c r="N43" s="944">
        <f t="shared" ca="1" si="28"/>
        <v>293633</v>
      </c>
      <c r="O43" s="944">
        <f t="shared" ca="1" si="26"/>
        <v>57.094163672282107</v>
      </c>
      <c r="P43" s="944">
        <f t="shared" ca="1" si="27"/>
        <v>55.43634221675137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514296</v>
      </c>
      <c r="M44" s="893">
        <f t="shared" ca="1" si="29"/>
        <v>529676</v>
      </c>
      <c r="N44" s="893">
        <f t="shared" ca="1" si="29"/>
        <v>293633</v>
      </c>
      <c r="O44" s="893">
        <f t="shared" ca="1" si="26"/>
        <v>57.094163672282107</v>
      </c>
      <c r="P44" s="893">
        <f t="shared" ca="1" si="27"/>
        <v>55.43634221675137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IFERROR(__xludf.DUMMYFUNCTION("IMPORTRANGE(""https://docs.google.com/spreadsheets/d/1MeEWN-I1oV_STSDYn1IFDPWt_1FKiwhDph83XaGc0o0/edit?usp=sharing"",""งบพรบ!M39"")"),514296)</f>
        <v>514296</v>
      </c>
      <c r="M46" s="899">
        <f ca="1">IFERROR(__xludf.DUMMYFUNCTION("IMPORTRANGE(""https://docs.google.com/spreadsheets/d/1MeEWN-I1oV_STSDYn1IFDPWt_1FKiwhDph83XaGc0o0/edit?usp=sharing"",""งบพรบ!R39"")"),529676)</f>
        <v>529676</v>
      </c>
      <c r="N46" s="899">
        <f ca="1">IFERROR(__xludf.DUMMYFUNCTION("IMPORTRANGE(""https://docs.google.com/spreadsheets/d/1MeEWN-I1oV_STSDYn1IFDPWt_1FKiwhDph83XaGc0o0/edit?usp=sharing"",""งบพรบ!T39"")"),293633)</f>
        <v>293633</v>
      </c>
      <c r="O46" s="899">
        <f t="shared" ca="1" si="26"/>
        <v>57.094163672282107</v>
      </c>
      <c r="P46" s="899">
        <f t="shared" ca="1" si="27"/>
        <v>55.43634221675137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IFERROR(__xludf.DUMMYFUNCTION("IMPORTRANGE(""https://docs.google.com/spreadsheets/d/1MeEWN-I1oV_STSDYn1IFDPWt_1FKiwhDph83XaGc0o0/edit?usp=sharing"",""งบพรบ!P39"")"),0)</f>
        <v>0</v>
      </c>
      <c r="M49" s="905">
        <f ca="1">IFERROR(__xludf.DUMMYFUNCTION("IMPORTRANGE(""https://docs.google.com/spreadsheets/d/1MeEWN-I1oV_STSDYn1IFDPWt_1FKiwhDph83XaGc0o0/edit?usp=sharing"",""งบพรบ!S39"")"),0)</f>
        <v>0</v>
      </c>
      <c r="N49" s="905">
        <f ca="1">IFERROR(__xludf.DUMMYFUNCTION("IMPORTRANGE(""https://docs.google.com/spreadsheets/d/1MeEWN-I1oV_STSDYn1IFDPWt_1FKiwhDph83XaGc0o0/edit?usp=sharing"",""งบพรบ!U39"")"),0)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679200</v>
      </c>
      <c r="M53" s="968">
        <f t="shared" ca="1" si="31"/>
        <v>509400</v>
      </c>
      <c r="N53" s="968">
        <f t="shared" ca="1" si="31"/>
        <v>322780.90000000002</v>
      </c>
      <c r="O53" s="968">
        <f t="shared" ref="O53:O61" ca="1" si="32">IF(L53&gt;0,N53*100/L53,0)</f>
        <v>47.523689634864553</v>
      </c>
      <c r="P53" s="968">
        <f t="shared" ref="P53:P61" ca="1" si="33">IF(M53&gt;0,N53*100/M53,0)</f>
        <v>63.364919513152735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679200</v>
      </c>
      <c r="M55" s="974">
        <f t="shared" ca="1" si="34"/>
        <v>509400</v>
      </c>
      <c r="N55" s="974">
        <f t="shared" ca="1" si="34"/>
        <v>322780.90000000002</v>
      </c>
      <c r="O55" s="974">
        <f t="shared" ca="1" si="32"/>
        <v>47.523689634864553</v>
      </c>
      <c r="P55" s="974">
        <f t="shared" ca="1" si="33"/>
        <v>63.364919513152735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679200</v>
      </c>
      <c r="M56" s="893">
        <f t="shared" ca="1" si="35"/>
        <v>509400</v>
      </c>
      <c r="N56" s="893">
        <f t="shared" ca="1" si="35"/>
        <v>322780.90000000002</v>
      </c>
      <c r="O56" s="893">
        <f t="shared" ca="1" si="32"/>
        <v>47.523689634864553</v>
      </c>
      <c r="P56" s="893">
        <f t="shared" ca="1" si="33"/>
        <v>63.364919513152735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IFERROR(__xludf.DUMMYFUNCTION("IMPORTRANGE(""https://docs.google.com/spreadsheets/d/1MeEWN-I1oV_STSDYn1IFDPWt_1FKiwhDph83XaGc0o0/edit?usp=sharing"",""งบพรบ!W39"")"),679200)</f>
        <v>679200</v>
      </c>
      <c r="M58" s="899">
        <f ca="1">IFERROR(__xludf.DUMMYFUNCTION("IMPORTRANGE(""https://docs.google.com/spreadsheets/d/1MeEWN-I1oV_STSDYn1IFDPWt_1FKiwhDph83XaGc0o0/edit?usp=sharing"",""งบพรบ!AB39"")"),509400)</f>
        <v>509400</v>
      </c>
      <c r="N58" s="899">
        <f ca="1">IFERROR(__xludf.DUMMYFUNCTION("IMPORTRANGE(""https://docs.google.com/spreadsheets/d/1MeEWN-I1oV_STSDYn1IFDPWt_1FKiwhDph83XaGc0o0/edit?usp=sharing"",""งบพรบ!AD39"")"),322780.9)</f>
        <v>322780.90000000002</v>
      </c>
      <c r="O58" s="899">
        <f t="shared" ca="1" si="32"/>
        <v>47.523689634864553</v>
      </c>
      <c r="P58" s="899">
        <f t="shared" ca="1" si="33"/>
        <v>63.364919513152735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IFERROR(__xludf.DUMMYFUNCTION("IMPORTRANGE(""https://docs.google.com/spreadsheets/d/1MeEWN-I1oV_STSDYn1IFDPWt_1FKiwhDph83XaGc0o0/edit?usp=sharing"",""งบพรบ!Z39"")"),0)</f>
        <v>0</v>
      </c>
      <c r="M61" s="905">
        <f ca="1">IFERROR(__xludf.DUMMYFUNCTION("IMPORTRANGE(""https://docs.google.com/spreadsheets/d/1MeEWN-I1oV_STSDYn1IFDPWt_1FKiwhDph83XaGc0o0/edit?usp=sharing"",""งบพรบ!AC39"")"),0)</f>
        <v>0</v>
      </c>
      <c r="N61" s="905">
        <f ca="1">IFERROR(__xludf.DUMMYFUNCTION("IMPORTRANGE(""https://docs.google.com/spreadsheets/d/1MeEWN-I1oV_STSDYn1IFDPWt_1FKiwhDph83XaGc0o0/edit?usp=sharing"",""งบพรบ!AE39"")"),0)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3</v>
      </c>
      <c r="J64" s="994">
        <f t="shared" si="37"/>
        <v>3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109</v>
      </c>
      <c r="J65" s="994">
        <f t="shared" si="37"/>
        <v>109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1621800</v>
      </c>
      <c r="M66" s="1004">
        <f t="shared" ca="1" si="39"/>
        <v>1246500</v>
      </c>
      <c r="N66" s="1004">
        <f t="shared" ca="1" si="39"/>
        <v>770015.23</v>
      </c>
      <c r="O66" s="1004">
        <f t="shared" ref="O66:O74" ca="1" si="40">IF(L66&gt;0,N66*100/L66,0)</f>
        <v>47.479049821186337</v>
      </c>
      <c r="P66" s="1004">
        <f t="shared" ref="P66:P74" ca="1" si="41">IF(M66&gt;0,N66*100/M66,0)</f>
        <v>61.774186121139188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1621800</v>
      </c>
      <c r="M68" s="899">
        <f t="shared" ca="1" si="42"/>
        <v>1246500</v>
      </c>
      <c r="N68" s="899">
        <f t="shared" ca="1" si="42"/>
        <v>770015.23</v>
      </c>
      <c r="O68" s="899">
        <f t="shared" ca="1" si="40"/>
        <v>47.479049821186337</v>
      </c>
      <c r="P68" s="899">
        <f t="shared" ca="1" si="41"/>
        <v>61.774186121139188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1621800</v>
      </c>
      <c r="M69" s="893">
        <f t="shared" ca="1" si="43"/>
        <v>1246500</v>
      </c>
      <c r="N69" s="893">
        <f t="shared" ca="1" si="43"/>
        <v>770015.23</v>
      </c>
      <c r="O69" s="893">
        <f t="shared" ca="1" si="40"/>
        <v>47.479049821186337</v>
      </c>
      <c r="P69" s="893">
        <f t="shared" ca="1" si="41"/>
        <v>61.774186121139188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IFERROR(__xludf.DUMMYFUNCTION("IMPORTRANGE(""https://docs.google.com/spreadsheets/d/1MeEWN-I1oV_STSDYn1IFDPWt_1FKiwhDph83XaGc0o0/edit?usp=sharing"",""งบพรบ!AG39"")"),1621800)</f>
        <v>1621800</v>
      </c>
      <c r="M71" s="899">
        <f ca="1">IFERROR(__xludf.DUMMYFUNCTION("IMPORTRANGE(""https://docs.google.com/spreadsheets/d/1MeEWN-I1oV_STSDYn1IFDPWt_1FKiwhDph83XaGc0o0/edit?usp=sharing"",""งบพรบ!AL39"")"),1246500)</f>
        <v>1246500</v>
      </c>
      <c r="N71" s="899">
        <f ca="1">IFERROR(__xludf.DUMMYFUNCTION("IMPORTRANGE(""https://docs.google.com/spreadsheets/d/1MeEWN-I1oV_STSDYn1IFDPWt_1FKiwhDph83XaGc0o0/edit?usp=sharing"",""งบพรบ!AN39"")"),770015.23)</f>
        <v>770015.23</v>
      </c>
      <c r="O71" s="899">
        <f t="shared" ca="1" si="40"/>
        <v>47.479049821186337</v>
      </c>
      <c r="P71" s="899">
        <f t="shared" ca="1" si="41"/>
        <v>61.774186121139188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IFERROR(__xludf.DUMMYFUNCTION("IMPORTRANGE(""https://docs.google.com/spreadsheets/d/1MeEWN-I1oV_STSDYn1IFDPWt_1FKiwhDph83XaGc0o0/edit?usp=sharing"",""งบพรบ!AJ39"")"),0)</f>
        <v>0</v>
      </c>
      <c r="M74" s="899">
        <f ca="1">IFERROR(__xludf.DUMMYFUNCTION("IMPORTRANGE(""https://docs.google.com/spreadsheets/d/1MeEWN-I1oV_STSDYn1IFDPWt_1FKiwhDph83XaGc0o0/edit?usp=sharing"",""งบพรบ!AM39"")"),0)</f>
        <v>0</v>
      </c>
      <c r="N74" s="899">
        <f ca="1">IFERROR(__xludf.DUMMYFUNCTION("IMPORTRANGE(""https://docs.google.com/spreadsheets/d/1MeEWN-I1oV_STSDYn1IFDPWt_1FKiwhDph83XaGc0o0/edit?usp=sharing"",""งบพรบ!AO39"")"),0)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3</v>
      </c>
      <c r="J76" s="892">
        <f t="shared" si="45"/>
        <v>3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109</v>
      </c>
      <c r="J77" s="892">
        <f t="shared" si="45"/>
        <v>109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IFERROR(__xludf.DUMMYFUNCTION("IMPORTRANGE(""https://docs.google.com/spreadsheets/d/1QqKyyYR6Q21VydFLVH3TRQUabQu_ym0Zz7PgGX0-kHA/edit?usp=sharing"",""แผน!H39"")"),1)</f>
        <v>1</v>
      </c>
      <c r="J78" s="1024">
        <v>1</v>
      </c>
      <c r="K78" s="1010">
        <f t="shared" ca="1" si="46"/>
        <v>100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IFERROR(__xludf.DUMMYFUNCTION("IMPORTRANGE(""https://docs.google.com/spreadsheets/d/1QqKyyYR6Q21VydFLVH3TRQUabQu_ym0Zz7PgGX0-kHA/edit?usp=sharing"",""แผน!I39"")"),32)</f>
        <v>32</v>
      </c>
      <c r="J79" s="1024">
        <v>32</v>
      </c>
      <c r="K79" s="1010">
        <f t="shared" ca="1" si="46"/>
        <v>100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IFERROR(__xludf.DUMMYFUNCTION("IMPORTRANGE(""https://docs.google.com/spreadsheets/d/1QqKyyYR6Q21VydFLVH3TRQUabQu_ym0Zz7PgGX0-kHA/edit?usp=sharing"",""แผน!F39"")"),1)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IFERROR(__xludf.DUMMYFUNCTION("IMPORTRANGE(""https://docs.google.com/spreadsheets/d/1QqKyyYR6Q21VydFLVH3TRQUabQu_ym0Zz7PgGX0-kHA/edit?usp=sharing"",""แผน!G39"")"),37)</f>
        <v>37</v>
      </c>
      <c r="J81" s="1024">
        <v>37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IFERROR(__xludf.DUMMYFUNCTION("IMPORTRANGE(""https://docs.google.com/spreadsheets/d/1QqKyyYR6Q21VydFLVH3TRQUabQu_ym0Zz7PgGX0-kHA/edit?usp=sharing"",""แผน!D39"")"),1)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IFERROR(__xludf.DUMMYFUNCTION("IMPORTRANGE(""https://docs.google.com/spreadsheets/d/1QqKyyYR6Q21VydFLVH3TRQUabQu_ym0Zz7PgGX0-kHA/edit?usp=sharing"",""แผน!E39"")"),40)</f>
        <v>40</v>
      </c>
      <c r="J83" s="1024">
        <v>40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IFERROR(__xludf.DUMMYFUNCTION("IMPORTRANGE(""https://docs.google.com/spreadsheets/d/1QqKyyYR6Q21VydFLVH3TRQUabQu_ym0Zz7PgGX0-kHA/edit?usp=sharing"",""แผน!J39"")"),3)</f>
        <v>3</v>
      </c>
      <c r="J84" s="1024">
        <v>1</v>
      </c>
      <c r="K84" s="1010">
        <f t="shared" ca="1" si="46"/>
        <v>33.333333333333336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60</v>
      </c>
      <c r="J86" s="994">
        <f t="shared" si="47"/>
        <v>60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20</v>
      </c>
      <c r="J87" s="994">
        <f t="shared" si="47"/>
        <v>20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110880</v>
      </c>
      <c r="M88" s="1004">
        <f t="shared" ca="1" si="49"/>
        <v>101180</v>
      </c>
      <c r="N88" s="1004">
        <f t="shared" ca="1" si="49"/>
        <v>91171</v>
      </c>
      <c r="O88" s="1004">
        <f t="shared" ref="O88:O96" ca="1" si="50">IF(L88&gt;0,N88*100/L88,0)</f>
        <v>82.224927849927852</v>
      </c>
      <c r="P88" s="1004">
        <f t="shared" ref="P88:P96" ca="1" si="51">IF(M88&gt;0,N88*100/M88,0)</f>
        <v>90.107728800158128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110880</v>
      </c>
      <c r="M90" s="899">
        <f t="shared" ca="1" si="52"/>
        <v>101180</v>
      </c>
      <c r="N90" s="899">
        <f t="shared" ca="1" si="52"/>
        <v>91171</v>
      </c>
      <c r="O90" s="899">
        <f t="shared" ca="1" si="50"/>
        <v>82.224927849927852</v>
      </c>
      <c r="P90" s="899">
        <f t="shared" ca="1" si="51"/>
        <v>90.107728800158128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110880</v>
      </c>
      <c r="M91" s="893">
        <f t="shared" ca="1" si="53"/>
        <v>101180</v>
      </c>
      <c r="N91" s="893">
        <f t="shared" ca="1" si="53"/>
        <v>91171</v>
      </c>
      <c r="O91" s="893">
        <f t="shared" ca="1" si="50"/>
        <v>82.224927849927852</v>
      </c>
      <c r="P91" s="893">
        <f t="shared" ca="1" si="51"/>
        <v>90.107728800158128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IFERROR(__xludf.DUMMYFUNCTION("IMPORTRANGE(""https://docs.google.com/spreadsheets/d/1MeEWN-I1oV_STSDYn1IFDPWt_1FKiwhDph83XaGc0o0/edit?usp=sharing"",""งบพรบ!AQ39"")"),110880)</f>
        <v>110880</v>
      </c>
      <c r="M93" s="899">
        <f ca="1">IFERROR(__xludf.DUMMYFUNCTION("IMPORTRANGE(""https://docs.google.com/spreadsheets/d/1MeEWN-I1oV_STSDYn1IFDPWt_1FKiwhDph83XaGc0o0/edit?usp=sharing"",""งบพรบ!AV39"")"),101180)</f>
        <v>101180</v>
      </c>
      <c r="N93" s="899">
        <f ca="1">IFERROR(__xludf.DUMMYFUNCTION("IMPORTRANGE(""https://docs.google.com/spreadsheets/d/1MeEWN-I1oV_STSDYn1IFDPWt_1FKiwhDph83XaGc0o0/edit?usp=sharing"",""งบพรบ!AX39"")"),91171)</f>
        <v>91171</v>
      </c>
      <c r="O93" s="899">
        <f t="shared" ca="1" si="50"/>
        <v>82.224927849927852</v>
      </c>
      <c r="P93" s="899">
        <f t="shared" ca="1" si="51"/>
        <v>90.107728800158128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IFERROR(__xludf.DUMMYFUNCTION("IMPORTRANGE(""https://docs.google.com/spreadsheets/d/1MeEWN-I1oV_STSDYn1IFDPWt_1FKiwhDph83XaGc0o0/edit?usp=sharing"",""งบพรบ!AT39"")"),0)</f>
        <v>0</v>
      </c>
      <c r="M96" s="899">
        <f ca="1">IFERROR(__xludf.DUMMYFUNCTION("IMPORTRANGE(""https://docs.google.com/spreadsheets/d/1MeEWN-I1oV_STSDYn1IFDPWt_1FKiwhDph83XaGc0o0/edit?usp=sharing"",""งบพรบ!AW39"")"),0)</f>
        <v>0</v>
      </c>
      <c r="N96" s="899">
        <f ca="1">IFERROR(__xludf.DUMMYFUNCTION("IMPORTRANGE(""https://docs.google.com/spreadsheets/d/1MeEWN-I1oV_STSDYn1IFDPWt_1FKiwhDph83XaGc0o0/edit?usp=sharing"",""งบพรบ!AY39"")"),0)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IFERROR(__xludf.DUMMYFUNCTION("IMPORTRANGE(""https://docs.google.com/spreadsheets/d/1QqKyyYR6Q21VydFLVH3TRQUabQu_ym0Zz7PgGX0-kHA/edit?usp=sharing"",""แผน!K39"")"),60)</f>
        <v>60</v>
      </c>
      <c r="J98" s="892">
        <f>J102</f>
        <v>60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IFERROR(__xludf.DUMMYFUNCTION("IMPORTRANGE(""https://docs.google.com/spreadsheets/d/1QqKyyYR6Q21VydFLVH3TRQUabQu_ym0Zz7PgGX0-kHA/edit?usp=sharing"",""แผน!L39"")"),20)</f>
        <v>20</v>
      </c>
      <c r="J99" s="892">
        <f>J104</f>
        <v>20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IFERROR(__xludf.DUMMYFUNCTION("IMPORTRANGE(""https://docs.google.com/spreadsheets/d/1QqKyyYR6Q21VydFLVH3TRQUabQu_ym0Zz7PgGX0-kHA/edit?usp=sharing"",""แผน!M39"")"),2)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IFERROR(__xludf.DUMMYFUNCTION("IMPORTRANGE(""https://docs.google.com/spreadsheets/d/1QqKyyYR6Q21VydFLVH3TRQUabQu_ym0Zz7PgGX0-kHA/edit?usp=sharing"",""แผน!N39"")"),60)</f>
        <v>60</v>
      </c>
      <c r="J102" s="1024">
        <v>60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IFERROR(__xludf.DUMMYFUNCTION("IMPORTRANGE(""https://docs.google.com/spreadsheets/d/1QqKyyYR6Q21VydFLVH3TRQUabQu_ym0Zz7PgGX0-kHA/edit?usp=sharing"",""แผน!O39"")"),20)</f>
        <v>20</v>
      </c>
      <c r="J103" s="1024">
        <v>20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IFERROR(__xludf.DUMMYFUNCTION("IMPORTRANGE(""https://docs.google.com/spreadsheets/d/1QqKyyYR6Q21VydFLVH3TRQUabQu_ym0Zz7PgGX0-kHA/edit?usp=sharing"",""แผน!O39"")"),20)</f>
        <v>20</v>
      </c>
      <c r="J104" s="1024">
        <v>20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IFERROR(__xludf.DUMMYFUNCTION("IMPORTRANGE(""https://docs.google.com/spreadsheets/d/1QqKyyYR6Q21VydFLVH3TRQUabQu_ym0Zz7PgGX0-kHA/edit?usp=sharing"",""แผน!P39"")"),1)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IFERROR(__xludf.DUMMYFUNCTION("IMPORTRANGE(""https://docs.google.com/spreadsheets/d/1QqKyyYR6Q21VydFLVH3TRQUabQu_ym0Zz7PgGX0-kHA/edit?usp=sharing"",""แผน!P39"")"),1)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IFERROR(__xludf.DUMMYFUNCTION("IMPORTRANGE(""https://docs.google.com/spreadsheets/d/1QqKyyYR6Q21VydFLVH3TRQUabQu_ym0Zz7PgGX0-kHA/edit?usp=sharing"",""แผน!Q39"")"),1)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IFERROR(__xludf.DUMMYFUNCTION("IMPORTRANGE(""https://docs.google.com/spreadsheets/d/1QqKyyYR6Q21VydFLVH3TRQUabQu_ym0Zz7PgGX0-kHA/edit?usp=sharing"",""แผน!Q39"")"),1)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IFERROR(__xludf.DUMMYFUNCTION("IMPORTRANGE(""https://docs.google.com/spreadsheets/d/1QqKyyYR6Q21VydFLVH3TRQUabQu_ym0Zz7PgGX0-kHA/edit?usp=sharing"",""แผน!R39"")"),20)</f>
        <v>20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IFERROR(__xludf.DUMMYFUNCTION("IMPORTRANGE(""https://docs.google.com/spreadsheets/d/1QqKyyYR6Q21VydFLVH3TRQUabQu_ym0Zz7PgGX0-kHA/edit?usp=sharing"",""แผน!R39"")"),20)</f>
        <v>20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IFERROR(__xludf.DUMMYFUNCTION("IMPORTRANGE(""https://docs.google.com/spreadsheets/d/1QqKyyYR6Q21VydFLVH3TRQUabQu_ym0Zz7PgGX0-kHA/edit?usp=sharing"",""แผน!R39"")"),20)</f>
        <v>20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IFERROR(__xludf.DUMMYFUNCTION("IMPORTRANGE(""https://docs.google.com/spreadsheets/d/1QqKyyYR6Q21VydFLVH3TRQUabQu_ym0Zz7PgGX0-kHA/edit?usp=sharing"",""แผน!S39"")"),1)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IFERROR(__xludf.DUMMYFUNCTION("IMPORTRANGE(""https://docs.google.com/spreadsheets/d/1QqKyyYR6Q21VydFLVH3TRQUabQu_ym0Zz7PgGX0-kHA/edit?usp=sharing"",""แผน!T39"")"),1)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>
      <c r="A118" s="989"/>
      <c r="B118" s="990" t="s">
        <v>65</v>
      </c>
      <c r="C118" s="1038"/>
      <c r="D118" s="992"/>
      <c r="E118" s="991"/>
      <c r="F118" s="991"/>
      <c r="G118" s="993"/>
      <c r="H118" s="205" t="s">
        <v>66</v>
      </c>
      <c r="I118" s="1039">
        <v>1</v>
      </c>
      <c r="J118" s="1039">
        <f>J440</f>
        <v>1</v>
      </c>
      <c r="K118" s="996">
        <f>IF(I118&gt;0,J118*100/I118,0)</f>
        <v>100</v>
      </c>
      <c r="L118" s="996"/>
      <c r="M118" s="996"/>
      <c r="N118" s="996"/>
      <c r="O118" s="996"/>
      <c r="P118" s="996"/>
    </row>
    <row r="119" spans="1:26" ht="19.5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212000</v>
      </c>
      <c r="M119" s="1004">
        <f t="shared" ca="1" si="60"/>
        <v>212000</v>
      </c>
      <c r="N119" s="1004">
        <f t="shared" ca="1" si="60"/>
        <v>212000</v>
      </c>
      <c r="O119" s="1004">
        <f t="shared" ref="O119:O127" ca="1" si="61">IF(L119&gt;0,N119*100/L119,0)</f>
        <v>100</v>
      </c>
      <c r="P119" s="1004">
        <f t="shared" ref="P119:P127" ca="1" si="62">IF(M119&gt;0,N119*100/M119,0)</f>
        <v>100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212000</v>
      </c>
      <c r="M121" s="899">
        <f t="shared" ca="1" si="63"/>
        <v>212000</v>
      </c>
      <c r="N121" s="899">
        <f t="shared" ca="1" si="63"/>
        <v>212000</v>
      </c>
      <c r="O121" s="899">
        <f t="shared" ca="1" si="61"/>
        <v>100</v>
      </c>
      <c r="P121" s="899">
        <f t="shared" ca="1" si="62"/>
        <v>100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IFERROR(__xludf.DUMMYFUNCTION("IMPORTRANGE(""https://docs.google.com/spreadsheets/d/1MeEWN-I1oV_STSDYn1IFDPWt_1FKiwhDph83XaGc0o0/edit?usp=sharing"",""งบพรบ!BA39"")"),0)</f>
        <v>0</v>
      </c>
      <c r="M124" s="899">
        <f ca="1">IFERROR(__xludf.DUMMYFUNCTION("IMPORTRANGE(""https://docs.google.com/spreadsheets/d/1MeEWN-I1oV_STSDYn1IFDPWt_1FKiwhDph83XaGc0o0/edit?usp=sharing"",""งบพรบ!BF39"")"),0)</f>
        <v>0</v>
      </c>
      <c r="N124" s="899">
        <f ca="1">IFERROR(__xludf.DUMMYFUNCTION("IMPORTRANGE(""https://docs.google.com/spreadsheets/d/1MeEWN-I1oV_STSDYn1IFDPWt_1FKiwhDph83XaGc0o0/edit?usp=sharing"",""งบพรบ!BH39"")"),0)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212000</v>
      </c>
      <c r="M125" s="893">
        <f t="shared" ca="1" si="65"/>
        <v>212000</v>
      </c>
      <c r="N125" s="893">
        <f t="shared" ca="1" si="65"/>
        <v>212000</v>
      </c>
      <c r="O125" s="893">
        <f t="shared" ca="1" si="61"/>
        <v>100</v>
      </c>
      <c r="P125" s="893">
        <f t="shared" ca="1" si="62"/>
        <v>100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IFERROR(__xludf.DUMMYFUNCTION("IMPORTRANGE(""https://docs.google.com/spreadsheets/d/1MeEWN-I1oV_STSDYn1IFDPWt_1FKiwhDph83XaGc0o0/edit?usp=sharing"",""งบพรบ!BD39"")"),212000)</f>
        <v>212000</v>
      </c>
      <c r="M127" s="899">
        <f ca="1">IFERROR(__xludf.DUMMYFUNCTION("IMPORTRANGE(""https://docs.google.com/spreadsheets/d/1MeEWN-I1oV_STSDYn1IFDPWt_1FKiwhDph83XaGc0o0/edit?usp=sharing"",""งบพรบ!BG39"")"),212000)</f>
        <v>212000</v>
      </c>
      <c r="N127" s="899">
        <f ca="1">IFERROR(__xludf.DUMMYFUNCTION("IMPORTRANGE(""https://docs.google.com/spreadsheets/d/1MeEWN-I1oV_STSDYn1IFDPWt_1FKiwhDph83XaGc0o0/edit?usp=sharing"",""งบพรบ!BI39"")"),212000)</f>
        <v>212000</v>
      </c>
      <c r="O127" s="899">
        <f t="shared" ca="1" si="61"/>
        <v>100</v>
      </c>
      <c r="P127" s="899">
        <f t="shared" ca="1" si="62"/>
        <v>100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3</v>
      </c>
      <c r="J130" s="994">
        <f t="shared" si="66"/>
        <v>3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30</v>
      </c>
      <c r="J131" s="994">
        <f t="shared" ca="1" si="68"/>
        <v>30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454965</v>
      </c>
      <c r="M132" s="1004">
        <f t="shared" ca="1" si="69"/>
        <v>440600</v>
      </c>
      <c r="N132" s="1004">
        <f t="shared" ca="1" si="69"/>
        <v>419735</v>
      </c>
      <c r="O132" s="1004">
        <f t="shared" ref="O132:O140" ca="1" si="70">IF(L132&gt;0,N132*100/L132,0)</f>
        <v>92.256547206928005</v>
      </c>
      <c r="P132" s="1004">
        <f t="shared" ref="P132:P140" ca="1" si="71">IF(M132&gt;0,N132*100/M132,0)</f>
        <v>95.264412165229231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454965</v>
      </c>
      <c r="M134" s="899">
        <f t="shared" ca="1" si="72"/>
        <v>440600</v>
      </c>
      <c r="N134" s="899">
        <f t="shared" ca="1" si="72"/>
        <v>419735</v>
      </c>
      <c r="O134" s="899">
        <f t="shared" ca="1" si="70"/>
        <v>92.256547206928005</v>
      </c>
      <c r="P134" s="899">
        <f t="shared" ca="1" si="71"/>
        <v>95.264412165229231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145965</v>
      </c>
      <c r="M135" s="893">
        <f t="shared" ca="1" si="73"/>
        <v>131600</v>
      </c>
      <c r="N135" s="893">
        <f t="shared" ca="1" si="73"/>
        <v>110735</v>
      </c>
      <c r="O135" s="893">
        <f t="shared" ca="1" si="70"/>
        <v>75.864077004761413</v>
      </c>
      <c r="P135" s="893">
        <f t="shared" ca="1" si="71"/>
        <v>84.1451367781155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IFERROR(__xludf.DUMMYFUNCTION("IMPORTRANGE(""https://docs.google.com/spreadsheets/d/1MeEWN-I1oV_STSDYn1IFDPWt_1FKiwhDph83XaGc0o0/edit?usp=sharing"",""งบพรบ!BK39"")"),145965)</f>
        <v>145965</v>
      </c>
      <c r="M137" s="899">
        <f ca="1">IFERROR(__xludf.DUMMYFUNCTION("IMPORTRANGE(""https://docs.google.com/spreadsheets/d/1MeEWN-I1oV_STSDYn1IFDPWt_1FKiwhDph83XaGc0o0/edit?usp=sharing"",""งบพรบ!BP39"")"),131600)</f>
        <v>131600</v>
      </c>
      <c r="N137" s="899">
        <f ca="1">IFERROR(__xludf.DUMMYFUNCTION("IMPORTRANGE(""https://docs.google.com/spreadsheets/d/1MeEWN-I1oV_STSDYn1IFDPWt_1FKiwhDph83XaGc0o0/edit?usp=sharing"",""งบพรบ!BR39"")"),110735)</f>
        <v>110735</v>
      </c>
      <c r="O137" s="899">
        <f t="shared" ca="1" si="70"/>
        <v>75.864077004761413</v>
      </c>
      <c r="P137" s="899">
        <f t="shared" ca="1" si="71"/>
        <v>84.1451367781155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309000</v>
      </c>
      <c r="M138" s="893">
        <f t="shared" ca="1" si="74"/>
        <v>309000</v>
      </c>
      <c r="N138" s="893">
        <f t="shared" ca="1" si="74"/>
        <v>309000</v>
      </c>
      <c r="O138" s="893">
        <f t="shared" ca="1" si="70"/>
        <v>100</v>
      </c>
      <c r="P138" s="893">
        <f t="shared" ca="1" si="71"/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IFERROR(__xludf.DUMMYFUNCTION("IMPORTRANGE(""https://docs.google.com/spreadsheets/d/1MeEWN-I1oV_STSDYn1IFDPWt_1FKiwhDph83XaGc0o0/edit?usp=sharing"",""งบพรบ!BN39"")"),309000)</f>
        <v>309000</v>
      </c>
      <c r="M140" s="899">
        <f ca="1">IFERROR(__xludf.DUMMYFUNCTION("IMPORTRANGE(""https://docs.google.com/spreadsheets/d/1MeEWN-I1oV_STSDYn1IFDPWt_1FKiwhDph83XaGc0o0/edit?usp=sharing"",""งบพรบ!BQ39"")"),309000)</f>
        <v>309000</v>
      </c>
      <c r="N140" s="899">
        <f ca="1">IFERROR(__xludf.DUMMYFUNCTION("IMPORTRANGE(""https://docs.google.com/spreadsheets/d/1MeEWN-I1oV_STSDYn1IFDPWt_1FKiwhDph83XaGc0o0/edit?usp=sharing"",""งบพรบ!BS39"")"),309000)</f>
        <v>309000</v>
      </c>
      <c r="O140" s="899">
        <f t="shared" ca="1" si="70"/>
        <v>100</v>
      </c>
      <c r="P140" s="899">
        <f t="shared" ca="1" si="71"/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30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30</v>
      </c>
      <c r="J143" s="892">
        <f ca="1">IF(AND(J144&gt;=I144,J145&gt;=I145),J145,0)</f>
        <v>30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IFERROR(__xludf.DUMMYFUNCTION("IMPORTRANGE(""https://docs.google.com/spreadsheets/d/1QqKyyYR6Q21VydFLVH3TRQUabQu_ym0Zz7PgGX0-kHA/edit?usp=sharing"",""แผน!U39"")"),15)</f>
        <v>15</v>
      </c>
      <c r="J144" s="1024">
        <v>15</v>
      </c>
      <c r="K144" s="893">
        <f t="shared" ca="1" si="75"/>
        <v>100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IFERROR(__xludf.DUMMYFUNCTION("IMPORTRANGE(""https://docs.google.com/spreadsheets/d/1QqKyyYR6Q21VydFLVH3TRQUabQu_ym0Zz7PgGX0-kHA/edit?usp=sharing"",""แผน!V39"")"),30)</f>
        <v>30</v>
      </c>
      <c r="J145" s="1024">
        <v>30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IFERROR(__xludf.DUMMYFUNCTION("IMPORTRANGE(""https://docs.google.com/spreadsheets/d/1QqKyyYR6Q21VydFLVH3TRQUabQu_ym0Zz7PgGX0-kHA/edit?usp=sharing"",""แผน!W39"")"),3)</f>
        <v>3</v>
      </c>
      <c r="J146" s="1024">
        <v>3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IFERROR(__xludf.DUMMYFUNCTION("IMPORTRANGE(""https://docs.google.com/spreadsheets/d/1MeEWN-I1oV_STSDYn1IFDPWt_1FKiwhDph83XaGc0o0/edit?usp=sharing"",""งบพรบ!BU39"")"),0)</f>
        <v>0</v>
      </c>
      <c r="M154" s="899">
        <f ca="1">IFERROR(__xludf.DUMMYFUNCTION("IMPORTRANGE(""https://docs.google.com/spreadsheets/d/1MeEWN-I1oV_STSDYn1IFDPWt_1FKiwhDph83XaGc0o0/edit?usp=sharing"",""งบพรบ!BZ39"")"),0)</f>
        <v>0</v>
      </c>
      <c r="N154" s="899">
        <f ca="1">IFERROR(__xludf.DUMMYFUNCTION("IMPORTRANGE(""https://docs.google.com/spreadsheets/d/1MeEWN-I1oV_STSDYn1IFDPWt_1FKiwhDph83XaGc0o0/edit?usp=sharing"",""งบพรบ!CB39"")"),0)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IFERROR(__xludf.DUMMYFUNCTION("IMPORTRANGE(""https://docs.google.com/spreadsheets/d/1MeEWN-I1oV_STSDYn1IFDPWt_1FKiwhDph83XaGc0o0/edit?usp=sharing"",""งบพรบ!BX39"")"),0)</f>
        <v>0</v>
      </c>
      <c r="M157" s="899">
        <f ca="1">IFERROR(__xludf.DUMMYFUNCTION("IMPORTRANGE(""https://docs.google.com/spreadsheets/d/1MeEWN-I1oV_STSDYn1IFDPWt_1FKiwhDph83XaGc0o0/edit?usp=sharing"",""งบพรบ!CA39"")"),0)</f>
        <v>0</v>
      </c>
      <c r="N157" s="899">
        <f ca="1">IFERROR(__xludf.DUMMYFUNCTION("IMPORTRANGE(""https://docs.google.com/spreadsheets/d/1MeEWN-I1oV_STSDYn1IFDPWt_1FKiwhDph83XaGc0o0/edit?usp=sharing"",""งบพรบ!CC39"")"),0)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IFERROR(__xludf.DUMMYFUNCTION("IMPORTRANGE(""https://docs.google.com/spreadsheets/d/1QqKyyYR6Q21VydFLVH3TRQUabQu_ym0Zz7PgGX0-kHA/edit?usp=sharing"",""แผน!X39"")"),0)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23060</v>
      </c>
      <c r="N165" s="1004">
        <f t="shared" ca="1" si="84"/>
        <v>23060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23060</v>
      </c>
      <c r="N167" s="899">
        <f t="shared" ca="1" si="87"/>
        <v>23060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23060</v>
      </c>
      <c r="N168" s="893">
        <f t="shared" ca="1" si="88"/>
        <v>23060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IFERROR(__xludf.DUMMYFUNCTION("IMPORTRANGE(""https://docs.google.com/spreadsheets/d/1MeEWN-I1oV_STSDYn1IFDPWt_1FKiwhDph83XaGc0o0/edit?usp=sharing"",""งบพรบ!CE39"")"),23060)</f>
        <v>23060</v>
      </c>
      <c r="M170" s="899">
        <f ca="1">IFERROR(__xludf.DUMMYFUNCTION("IMPORTRANGE(""https://docs.google.com/spreadsheets/d/1MeEWN-I1oV_STSDYn1IFDPWt_1FKiwhDph83XaGc0o0/edit?usp=sharing"",""งบพรบ!CJ39"")"),23060)</f>
        <v>23060</v>
      </c>
      <c r="N170" s="899">
        <f ca="1">IFERROR(__xludf.DUMMYFUNCTION("IMPORTRANGE(""https://docs.google.com/spreadsheets/d/1MeEWN-I1oV_STSDYn1IFDPWt_1FKiwhDph83XaGc0o0/edit?usp=sharing"",""งบพรบ!CL39"")"),23060)</f>
        <v>23060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IFERROR(__xludf.DUMMYFUNCTION("IMPORTRANGE(""https://docs.google.com/spreadsheets/d/1MeEWN-I1oV_STSDYn1IFDPWt_1FKiwhDph83XaGc0o0/edit?usp=sharing"",""งบพรบ!CH39"")"),0)</f>
        <v>0</v>
      </c>
      <c r="M173" s="899">
        <f ca="1">IFERROR(__xludf.DUMMYFUNCTION("IMPORTRANGE(""https://docs.google.com/spreadsheets/d/1MeEWN-I1oV_STSDYn1IFDPWt_1FKiwhDph83XaGc0o0/edit?usp=sharing"",""งบพรบ!CK39"")"),0)</f>
        <v>0</v>
      </c>
      <c r="N173" s="899">
        <f ca="1">IFERROR(__xludf.DUMMYFUNCTION("IMPORTRANGE(""https://docs.google.com/spreadsheets/d/1MeEWN-I1oV_STSDYn1IFDPWt_1FKiwhDph83XaGc0o0/edit?usp=sharing"",""งบพรบ!CM39"")"),0)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IFERROR(__xludf.DUMMYFUNCTION("IMPORTRANGE(""https://docs.google.com/spreadsheets/d/1QqKyyYR6Q21VydFLVH3TRQUabQu_ym0Zz7PgGX0-kHA/edit?usp=sharing"",""แผน!Y39"")"),12)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55500</v>
      </c>
      <c r="M181" s="1004">
        <f t="shared" ca="1" si="92"/>
        <v>40500</v>
      </c>
      <c r="N181" s="1004">
        <f t="shared" ca="1" si="92"/>
        <v>29960</v>
      </c>
      <c r="O181" s="1004">
        <f t="shared" ref="O181:O189" ca="1" si="93">IF(L181&gt;0,N181*100/L181,0)</f>
        <v>53.981981981981981</v>
      </c>
      <c r="P181" s="1004">
        <f t="shared" ref="P181:P189" ca="1" si="94">IF(M181&gt;0,N181*100/M181,0)</f>
        <v>73.975308641975303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55500</v>
      </c>
      <c r="M183" s="899">
        <f t="shared" ca="1" si="95"/>
        <v>40500</v>
      </c>
      <c r="N183" s="899">
        <f t="shared" ca="1" si="95"/>
        <v>29960</v>
      </c>
      <c r="O183" s="899">
        <f t="shared" ca="1" si="93"/>
        <v>53.981981981981981</v>
      </c>
      <c r="P183" s="899">
        <f t="shared" ca="1" si="94"/>
        <v>73.975308641975303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55500</v>
      </c>
      <c r="M184" s="893">
        <f t="shared" ca="1" si="96"/>
        <v>40500</v>
      </c>
      <c r="N184" s="893">
        <f t="shared" ca="1" si="96"/>
        <v>29960</v>
      </c>
      <c r="O184" s="893">
        <f t="shared" ca="1" si="93"/>
        <v>53.981981981981981</v>
      </c>
      <c r="P184" s="893">
        <f t="shared" ca="1" si="94"/>
        <v>73.975308641975303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IFERROR(__xludf.DUMMYFUNCTION("IMPORTRANGE(""https://docs.google.com/spreadsheets/d/1MeEWN-I1oV_STSDYn1IFDPWt_1FKiwhDph83XaGc0o0/edit?usp=sharing"",""งบพรบ!CO39"")"),55500)</f>
        <v>55500</v>
      </c>
      <c r="M186" s="899">
        <f ca="1">IFERROR(__xludf.DUMMYFUNCTION("IMPORTRANGE(""https://docs.google.com/spreadsheets/d/1MeEWN-I1oV_STSDYn1IFDPWt_1FKiwhDph83XaGc0o0/edit?usp=sharing"",""งบพรบ!CT39"")"),40500)</f>
        <v>40500</v>
      </c>
      <c r="N186" s="899">
        <f ca="1">IFERROR(__xludf.DUMMYFUNCTION("IMPORTRANGE(""https://docs.google.com/spreadsheets/d/1MeEWN-I1oV_STSDYn1IFDPWt_1FKiwhDph83XaGc0o0/edit?usp=sharing"",""งบพรบ!CV39"")"),29960)</f>
        <v>29960</v>
      </c>
      <c r="O186" s="899">
        <f t="shared" ca="1" si="93"/>
        <v>53.981981981981981</v>
      </c>
      <c r="P186" s="899">
        <f t="shared" ca="1" si="94"/>
        <v>73.975308641975303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IFERROR(__xludf.DUMMYFUNCTION("IMPORTRANGE(""https://docs.google.com/spreadsheets/d/1MeEWN-I1oV_STSDYn1IFDPWt_1FKiwhDph83XaGc0o0/edit?usp=sharing"",""งบพรบ!CR39"")"),0)</f>
        <v>0</v>
      </c>
      <c r="M189" s="899">
        <f ca="1">IFERROR(__xludf.DUMMYFUNCTION("IMPORTRANGE(""https://docs.google.com/spreadsheets/d/1MeEWN-I1oV_STSDYn1IFDPWt_1FKiwhDph83XaGc0o0/edit?usp=sharing"",""งบพรบ!CU39"")"),0)</f>
        <v>0</v>
      </c>
      <c r="N189" s="899">
        <f ca="1">IFERROR(__xludf.DUMMYFUNCTION("IMPORTRANGE(""https://docs.google.com/spreadsheets/d/1MeEWN-I1oV_STSDYn1IFDPWt_1FKiwhDph83XaGc0o0/edit?usp=sharing"",""งบพรบ!CW39"")"),0)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IFERROR(__xludf.DUMMYFUNCTION("IMPORTRANGE(""https://docs.google.com/spreadsheets/d/1QqKyyYR6Q21VydFLVH3TRQUabQu_ym0Zz7PgGX0-kHA/edit?usp=sharing"",""แผน!Z39"")"),6000)</f>
        <v>6000</v>
      </c>
      <c r="M191" s="1004"/>
      <c r="N191" s="1092">
        <v>3375</v>
      </c>
      <c r="O191" s="1004">
        <f ca="1">IF(L191&gt;0,N191*100/L191,0)</f>
        <v>56.25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IFERROR(__xludf.DUMMYFUNCTION("IMPORTRANGE(""https://docs.google.com/spreadsheets/d/1QqKyyYR6Q21VydFLVH3TRQUabQu_ym0Zz7PgGX0-kHA/edit?usp=sharing"",""แผน!AC39"")"),4)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29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29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2</v>
      </c>
      <c r="J197" s="1089">
        <f t="shared" si="99"/>
        <v>2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31000</v>
      </c>
      <c r="M198" s="1004"/>
      <c r="N198" s="1004">
        <f>N199+N200+N201+N202</f>
        <v>29960</v>
      </c>
      <c r="O198" s="1004">
        <f ca="1">IF(L198&gt;0,N198*100/L198,0)</f>
        <v>96.645161290322577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IFERROR(__xludf.DUMMYFUNCTION("IMPORTRANGE(""https://docs.google.com/spreadsheets/d/1QqKyyYR6Q21VydFLVH3TRQUabQu_ym0Zz7PgGX0-kHA/edit?usp=sharing"",""แผน!AE39"")"),2000)</f>
        <v>2000</v>
      </c>
      <c r="M199" s="893"/>
      <c r="N199" s="1096">
        <v>5960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IFERROR(__xludf.DUMMYFUNCTION("IMPORTRANGE(""https://docs.google.com/spreadsheets/d/1QqKyyYR6Q21VydFLVH3TRQUabQu_ym0Zz7PgGX0-kHA/edit?usp=sharing"",""แผน!AF39"")"),16000)</f>
        <v>16000</v>
      </c>
      <c r="M200" s="893"/>
      <c r="N200" s="1096">
        <v>16000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IFERROR(__xludf.DUMMYFUNCTION("IMPORTRANGE(""https://docs.google.com/spreadsheets/d/1QqKyyYR6Q21VydFLVH3TRQUabQu_ym0Zz7PgGX0-kHA/edit?usp=sharing"",""แผน!AG39"")"),8000)</f>
        <v>8000</v>
      </c>
      <c r="M201" s="893"/>
      <c r="N201" s="1096">
        <v>8000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IFERROR(__xludf.DUMMYFUNCTION("IMPORTRANGE(""https://docs.google.com/spreadsheets/d/1QqKyyYR6Q21VydFLVH3TRQUabQu_ym0Zz7PgGX0-kHA/edit?usp=sharing"",""แผน!AH39"")"),5000)</f>
        <v>5000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IFERROR(__xludf.DUMMYFUNCTION("IMPORTRANGE(""https://docs.google.com/spreadsheets/d/1QqKyyYR6Q21VydFLVH3TRQUabQu_ym0Zz7PgGX0-kHA/edit?usp=sharing"",""แผน!AI39"")"),2)</f>
        <v>2</v>
      </c>
      <c r="J204" s="1024">
        <v>2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2</v>
      </c>
      <c r="J206" s="1024">
        <v>2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1</v>
      </c>
      <c r="J207" s="1024">
        <v>1</v>
      </c>
      <c r="K207" s="1010">
        <f t="shared" si="100"/>
        <v>100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IFERROR(__xludf.DUMMYFUNCTION("IMPORTRANGE(""https://docs.google.com/spreadsheets/d/1QqKyyYR6Q21VydFLVH3TRQUabQu_ym0Zz7PgGX0-kHA/edit?usp=sharing"",""แผน!AK39"")"),0)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IFERROR(__xludf.DUMMYFUNCTION("IMPORTRANGE(""https://docs.google.com/spreadsheets/d/1QqKyyYR6Q21VydFLVH3TRQUabQu_ym0Zz7PgGX0-kHA/edit?usp=sharing"",""แผน!AL39"")"),0)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IFERROR(__xludf.DUMMYFUNCTION("IMPORTRANGE(""https://docs.google.com/spreadsheets/d/1QqKyyYR6Q21VydFLVH3TRQUabQu_ym0Zz7PgGX0-kHA/edit?usp=sharing"",""แผน!AM39"")"),0)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IFERROR(__xludf.DUMMYFUNCTION("IMPORTRANGE(""https://docs.google.com/spreadsheets/d/1QqKyyYR6Q21VydFLVH3TRQUabQu_ym0Zz7PgGX0-kHA/edit?usp=sharing"",""แผน!AN39"")"),0)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IFERROR(__xludf.DUMMYFUNCTION("IMPORTRANGE(""https://docs.google.com/spreadsheets/d/1QqKyyYR6Q21VydFLVH3TRQUabQu_ym0Zz7PgGX0-kHA/edit?usp=sharing"",""แผน!AN39"")"),0)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50000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18500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IFERROR(__xludf.DUMMYFUNCTION("IMPORTRANGE(""https://docs.google.com/spreadsheets/d/1QqKyyYR6Q21VydFLVH3TRQUabQu_ym0Zz7PgGX0-kHA/edit?usp=sharing"",""แผน!AP39"")"),5000)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IFERROR(__xludf.DUMMYFUNCTION("IMPORTRANGE(""https://docs.google.com/spreadsheets/d/1QqKyyYR6Q21VydFLVH3TRQUabQu_ym0Zz7PgGX0-kHA/edit?usp=sharing"",""แผน!AQ39"")"),13500)</f>
        <v>13500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IFERROR(__xludf.DUMMYFUNCTION("IMPORTRANGE(""https://docs.google.com/spreadsheets/d/1QqKyyYR6Q21VydFLVH3TRQUabQu_ym0Zz7PgGX0-kHA/edit?usp=sharing"",""แผน!AR39"")"),0)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IFERROR(__xludf.DUMMYFUNCTION("IMPORTRANGE(""https://docs.google.com/spreadsheets/d/1QqKyyYR6Q21VydFLVH3TRQUabQu_ym0Zz7PgGX0-kHA/edit?usp=sharing"",""แผน!AT39"")"),50000)</f>
        <v>50000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IFERROR(__xludf.DUMMYFUNCTION("IMPORTRANGE(""https://docs.google.com/spreadsheets/d/1QqKyyYR6Q21VydFLVH3TRQUabQu_ym0Zz7PgGX0-kHA/edit?usp=sharing"",""แผน!AT39"")"),50000)</f>
        <v>50000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IFERROR(__xludf.DUMMYFUNCTION("IMPORTRANGE(""https://docs.google.com/spreadsheets/d/1QqKyyYR6Q21VydFLVH3TRQUabQu_ym0Zz7PgGX0-kHA/edit?usp=sharing"",""แผน!AS39"")"),0)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IFERROR(__xludf.DUMMYFUNCTION("IMPORTRANGE(""https://docs.google.com/spreadsheets/d/1QqKyyYR6Q21VydFLVH3TRQUabQu_ym0Zz7PgGX0-kHA/edit?usp=sharing"",""แผน!AV39"")"),0)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IFERROR(__xludf.DUMMYFUNCTION("IMPORTRANGE(""https://docs.google.com/spreadsheets/d/1QqKyyYR6Q21VydFLVH3TRQUabQu_ym0Zz7PgGX0-kHA/edit?usp=sharing"",""แผน!AW39"")"),0)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IFERROR(__xludf.DUMMYFUNCTION("IMPORTRANGE(""https://docs.google.com/spreadsheets/d/1QqKyyYR6Q21VydFLVH3TRQUabQu_ym0Zz7PgGX0-kHA/edit?usp=sharing"",""แผน!AX39"")"),0)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IFERROR(__xludf.DUMMYFUNCTION("IMPORTRANGE(""https://docs.google.com/spreadsheets/d/1QqKyyYR6Q21VydFLVH3TRQUabQu_ym0Zz7PgGX0-kHA/edit?usp=sharing"",""แผน!AY39"")"),0)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IFERROR(__xludf.DUMMYFUNCTION("IMPORTRANGE(""https://docs.google.com/spreadsheets/d/1QqKyyYR6Q21VydFLVH3TRQUabQu_ym0Zz7PgGX0-kHA/edit?usp=sharing"",""แผน!BE39"")"),0)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IFERROR(__xludf.DUMMYFUNCTION("IMPORTRANGE(""https://docs.google.com/spreadsheets/d/1QqKyyYR6Q21VydFLVH3TRQUabQu_ym0Zz7PgGX0-kHA/edit?usp=sharing"",""แผน!AZ39"")"),0)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IFERROR(__xludf.DUMMYFUNCTION("IMPORTRANGE(""https://docs.google.com/spreadsheets/d/1QqKyyYR6Q21VydFLVH3TRQUabQu_ym0Zz7PgGX0-kHA/edit?usp=sharing"",""แผน!BA39"")"),0)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IFERROR(__xludf.DUMMYFUNCTION("IMPORTRANGE(""https://docs.google.com/spreadsheets/d/1QqKyyYR6Q21VydFLVH3TRQUabQu_ym0Zz7PgGX0-kHA/edit?usp=sharing"",""แผน!BB39"")"),0)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IFERROR(__xludf.DUMMYFUNCTION("IMPORTRANGE(""https://docs.google.com/spreadsheets/d/1QqKyyYR6Q21VydFLVH3TRQUabQu_ym0Zz7PgGX0-kHA/edit?usp=sharing"",""แผน!BC39"")"),0)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IFERROR(__xludf.DUMMYFUNCTION("IMPORTRANGE(""https://docs.google.com/spreadsheets/d/1QqKyyYR6Q21VydFLVH3TRQUabQu_ym0Zz7PgGX0-kHA/edit?usp=sharing"",""แผน!BF39"")"),0)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20150</v>
      </c>
      <c r="O261" s="1004">
        <f t="shared" ref="O261:O269" ca="1" si="117">IF(L261&gt;0,N261*100/L261,0)</f>
        <v>74.907063197026019</v>
      </c>
      <c r="P261" s="1004">
        <f t="shared" ref="P261:P269" ca="1" si="118">IF(M261&gt;0,N261*100/M261,0)</f>
        <v>84.309623430962347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20150</v>
      </c>
      <c r="O263" s="899">
        <f t="shared" ca="1" si="117"/>
        <v>74.907063197026019</v>
      </c>
      <c r="P263" s="899">
        <f t="shared" ca="1" si="118"/>
        <v>84.309623430962347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20150</v>
      </c>
      <c r="O264" s="893">
        <f t="shared" ca="1" si="117"/>
        <v>74.907063197026019</v>
      </c>
      <c r="P264" s="893">
        <f t="shared" ca="1" si="118"/>
        <v>84.309623430962347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IFERROR(__xludf.DUMMYFUNCTION("IMPORTRANGE(""https://docs.google.com/spreadsheets/d/1MeEWN-I1oV_STSDYn1IFDPWt_1FKiwhDph83XaGc0o0/edit?usp=sharing"",""งบพรบ!CY39"")"),26900)</f>
        <v>26900</v>
      </c>
      <c r="M266" s="899">
        <f ca="1">IFERROR(__xludf.DUMMYFUNCTION("IMPORTRANGE(""https://docs.google.com/spreadsheets/d/1MeEWN-I1oV_STSDYn1IFDPWt_1FKiwhDph83XaGc0o0/edit?usp=sharing"",""งบพรบ!DD39"")"),23900)</f>
        <v>23900</v>
      </c>
      <c r="N266" s="899">
        <f ca="1">IFERROR(__xludf.DUMMYFUNCTION("IMPORTRANGE(""https://docs.google.com/spreadsheets/d/1MeEWN-I1oV_STSDYn1IFDPWt_1FKiwhDph83XaGc0o0/edit?usp=sharing"",""งบพรบ!DF39"")"),20150)</f>
        <v>20150</v>
      </c>
      <c r="O266" s="899">
        <f t="shared" ca="1" si="117"/>
        <v>74.907063197026019</v>
      </c>
      <c r="P266" s="899">
        <f t="shared" ca="1" si="118"/>
        <v>84.309623430962347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IFERROR(__xludf.DUMMYFUNCTION("IMPORTRANGE(""https://docs.google.com/spreadsheets/d/1MeEWN-I1oV_STSDYn1IFDPWt_1FKiwhDph83XaGc0o0/edit?usp=sharing"",""งบพรบ!DB39"")"),0)</f>
        <v>0</v>
      </c>
      <c r="M269" s="899">
        <f ca="1">IFERROR(__xludf.DUMMYFUNCTION("IMPORTRANGE(""https://docs.google.com/spreadsheets/d/1MeEWN-I1oV_STSDYn1IFDPWt_1FKiwhDph83XaGc0o0/edit?usp=sharing"",""งบพรบ!DE39"")"),0)</f>
        <v>0</v>
      </c>
      <c r="N269" s="899">
        <f ca="1">IFERROR(__xludf.DUMMYFUNCTION("IMPORTRANGE(""https://docs.google.com/spreadsheets/d/1MeEWN-I1oV_STSDYn1IFDPWt_1FKiwhDph83XaGc0o0/edit?usp=sharing"",""งบพรบ!DG39"")"),0)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IFERROR(__xludf.DUMMYFUNCTION("IMPORTRANGE(""https://docs.google.com/spreadsheets/d/1QqKyyYR6Q21VydFLVH3TRQUabQu_ym0Zz7PgGX0-kHA/edit?usp=sharing"",""แผน!EA39"")"),22)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 hidden="1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 hidden="1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 hidden="1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 hidden="1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0</v>
      </c>
      <c r="J276" s="1173">
        <f t="shared" si="124"/>
        <v>0</v>
      </c>
      <c r="K276" s="1172">
        <f t="shared" ca="1" si="123"/>
        <v>0</v>
      </c>
      <c r="L276" s="1172"/>
      <c r="M276" s="1172"/>
      <c r="N276" s="1172"/>
      <c r="O276" s="1172"/>
      <c r="P276" s="1172"/>
    </row>
    <row r="277" spans="1:26" ht="19.5" hidden="1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0</v>
      </c>
      <c r="M277" s="1004">
        <f t="shared" ca="1" si="125"/>
        <v>0</v>
      </c>
      <c r="N277" s="1004">
        <f t="shared" ca="1" si="125"/>
        <v>0</v>
      </c>
      <c r="O277" s="1004">
        <f t="shared" ref="O277:O285" ca="1" si="126">IF(L277&gt;0,N277*100/L277,0)</f>
        <v>0</v>
      </c>
      <c r="P277" s="1004">
        <f t="shared" ref="P277:P285" ca="1" si="127">IF(M277&gt;0,N277*100/M277,0)</f>
        <v>0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0</v>
      </c>
      <c r="M279" s="899">
        <f t="shared" ca="1" si="128"/>
        <v>0</v>
      </c>
      <c r="N279" s="899">
        <f t="shared" ca="1" si="128"/>
        <v>0</v>
      </c>
      <c r="O279" s="899">
        <f t="shared" ca="1" si="126"/>
        <v>0</v>
      </c>
      <c r="P279" s="899">
        <f t="shared" ca="1" si="127"/>
        <v>0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 hidden="1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0</v>
      </c>
      <c r="M280" s="893">
        <f t="shared" ca="1" si="129"/>
        <v>0</v>
      </c>
      <c r="N280" s="893">
        <f t="shared" ca="1" si="129"/>
        <v>0</v>
      </c>
      <c r="O280" s="893">
        <f t="shared" ca="1" si="126"/>
        <v>0</v>
      </c>
      <c r="P280" s="893">
        <f t="shared" ca="1" si="127"/>
        <v>0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IFERROR(__xludf.DUMMYFUNCTION("IMPORTRANGE(""https://docs.google.com/spreadsheets/d/1MeEWN-I1oV_STSDYn1IFDPWt_1FKiwhDph83XaGc0o0/edit?usp=sharing"",""งบพรบ!DI39"")"),0)</f>
        <v>0</v>
      </c>
      <c r="M282" s="899">
        <f ca="1">IFERROR(__xludf.DUMMYFUNCTION("IMPORTRANGE(""https://docs.google.com/spreadsheets/d/1MeEWN-I1oV_STSDYn1IFDPWt_1FKiwhDph83XaGc0o0/edit?usp=sharing"",""งบพรบ!DN39"")"),0)</f>
        <v>0</v>
      </c>
      <c r="N282" s="899">
        <f ca="1">IFERROR(__xludf.DUMMYFUNCTION("IMPORTRANGE(""https://docs.google.com/spreadsheets/d/1MeEWN-I1oV_STSDYn1IFDPWt_1FKiwhDph83XaGc0o0/edit?usp=sharing"",""งบพรบ!DP39"")"),0)</f>
        <v>0</v>
      </c>
      <c r="O282" s="899">
        <f t="shared" ca="1" si="126"/>
        <v>0</v>
      </c>
      <c r="P282" s="899">
        <f t="shared" ca="1" si="127"/>
        <v>0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 hidden="1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IFERROR(__xludf.DUMMYFUNCTION("IMPORTRANGE(""https://docs.google.com/spreadsheets/d/1MeEWN-I1oV_STSDYn1IFDPWt_1FKiwhDph83XaGc0o0/edit?usp=sharing"",""งบพรบ!DL39"")"),0)</f>
        <v>0</v>
      </c>
      <c r="M285" s="899">
        <f ca="1">IFERROR(__xludf.DUMMYFUNCTION("IMPORTRANGE(""https://docs.google.com/spreadsheets/d/1MeEWN-I1oV_STSDYn1IFDPWt_1FKiwhDph83XaGc0o0/edit?usp=sharing"",""งบพรบ!DO39"")"),0)</f>
        <v>0</v>
      </c>
      <c r="N285" s="899">
        <f ca="1">IFERROR(__xludf.DUMMYFUNCTION("IMPORTRANGE(""https://docs.google.com/spreadsheets/d/1MeEWN-I1oV_STSDYn1IFDPWt_1FKiwhDph83XaGc0o0/edit?usp=sharing"",""งบพรบ!DQ39"")"),0)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 hidden="1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 hidden="1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IFERROR(__xludf.DUMMYFUNCTION("IMPORTRANGE(""https://docs.google.com/spreadsheets/d/1QqKyyYR6Q21VydFLVH3TRQUabQu_ym0Zz7PgGX0-kHA/edit?usp=sharing"",""แผน!EC39"")"),0)</f>
        <v>0</v>
      </c>
      <c r="J287" s="892">
        <v>0</v>
      </c>
      <c r="K287" s="1010">
        <f t="shared" ref="K287:K288" ca="1" si="131">IF(I287&gt;0,J287*100/I287,0)</f>
        <v>0</v>
      </c>
      <c r="L287" s="1010"/>
      <c r="M287" s="1010"/>
      <c r="N287" s="1010"/>
      <c r="O287" s="1010"/>
      <c r="P287" s="1010"/>
    </row>
    <row r="288" spans="1:26" ht="19.5" hidden="1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IFERROR(__xludf.DUMMYFUNCTION("IMPORTRANGE(""https://docs.google.com/spreadsheets/d/1QqKyyYR6Q21VydFLVH3TRQUabQu_ym0Zz7PgGX0-kHA/edit?usp=sharing"",""แผน!EB39"")"),0)</f>
        <v>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 hidden="1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 hidden="1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IFERROR(__xludf.DUMMYFUNCTION("IMPORTRANGE(""https://docs.google.com/spreadsheets/d/1QqKyyYR6Q21VydFLVH3TRQUabQu_ym0Zz7PgGX0-kHA/edit?usp=sharing"",""แผน!EB39"")"),0)</f>
        <v>0</v>
      </c>
      <c r="J290" s="1024">
        <v>0</v>
      </c>
      <c r="K290" s="1010">
        <f t="shared" ref="K290:K291" ca="1" si="132">IF(I290&gt;0,J290*100/I290,0)</f>
        <v>0</v>
      </c>
      <c r="L290" s="1010"/>
      <c r="M290" s="1010"/>
      <c r="N290" s="1010"/>
      <c r="O290" s="1010"/>
      <c r="P290" s="1010"/>
    </row>
    <row r="291" spans="1:26" ht="19.5" hidden="1">
      <c r="A291" s="1014"/>
      <c r="B291" s="1015"/>
      <c r="C291" s="1015"/>
      <c r="D291" s="1022"/>
      <c r="E291" s="1026" t="s">
        <v>345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IFERROR(__xludf.DUMMYFUNCTION("IMPORTRANGE(""https://docs.google.com/spreadsheets/d/1QqKyyYR6Q21VydFLVH3TRQUabQu_ym0Zz7PgGX0-kHA/edit?usp=sharing"",""แผน!EB39"")"),0)</f>
        <v>0</v>
      </c>
      <c r="J291" s="1024">
        <v>0</v>
      </c>
      <c r="K291" s="1010">
        <f t="shared" ca="1" si="132"/>
        <v>0</v>
      </c>
      <c r="L291" s="1010"/>
      <c r="M291" s="1010"/>
      <c r="N291" s="1010"/>
      <c r="O291" s="1010"/>
      <c r="P291" s="1010"/>
    </row>
    <row r="292" spans="1:26" ht="19.5" hidden="1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 hidden="1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IFERROR(__xludf.DUMMYFUNCTION("IMPORTRANGE(""https://docs.google.com/spreadsheets/d/1QqKyyYR6Q21VydFLVH3TRQUabQu_ym0Zz7PgGX0-kHA/edit?usp=sharing"",""แผน!EB39"")"),0)</f>
        <v>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 hidden="1">
      <c r="A294" s="1144"/>
      <c r="B294" s="1145"/>
      <c r="C294" s="1145"/>
      <c r="D294" s="1147"/>
      <c r="E294" s="1181" t="s">
        <v>345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IFERROR(__xludf.DUMMYFUNCTION("IMPORTRANGE(""https://docs.google.com/spreadsheets/d/1QqKyyYR6Q21VydFLVH3TRQUabQu_ym0Zz7PgGX0-kHA/edit?usp=sharing"",""แผน!EB39"")"),0)</f>
        <v>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IFERROR(__xludf.DUMMYFUNCTION("IMPORTRANGE(""https://docs.google.com/spreadsheets/d/1MeEWN-I1oV_STSDYn1IFDPWt_1FKiwhDph83XaGc0o0/edit?usp=sharing"",""งบพรบ!DS39"")"),0)</f>
        <v>0</v>
      </c>
      <c r="M303" s="899">
        <f ca="1">IFERROR(__xludf.DUMMYFUNCTION("IMPORTRANGE(""https://docs.google.com/spreadsheets/d/1MeEWN-I1oV_STSDYn1IFDPWt_1FKiwhDph83XaGc0o0/edit?usp=sharing"",""งบพรบ!DX39"")"),0)</f>
        <v>0</v>
      </c>
      <c r="N303" s="899">
        <f ca="1">IFERROR(__xludf.DUMMYFUNCTION("IMPORTRANGE(""https://docs.google.com/spreadsheets/d/1MeEWN-I1oV_STSDYn1IFDPWt_1FKiwhDph83XaGc0o0/edit?usp=sharing"",""งบพรบ!DZ39"")"),0)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IFERROR(__xludf.DUMMYFUNCTION("IMPORTRANGE(""https://docs.google.com/spreadsheets/d/1MeEWN-I1oV_STSDYn1IFDPWt_1FKiwhDph83XaGc0o0/edit?usp=sharing"",""งบพรบ!DV39"")"),0)</f>
        <v>0</v>
      </c>
      <c r="M306" s="899">
        <f ca="1">IFERROR(__xludf.DUMMYFUNCTION("IMPORTRANGE(""https://docs.google.com/spreadsheets/d/1MeEWN-I1oV_STSDYn1IFDPWt_1FKiwhDph83XaGc0o0/edit?usp=sharing"",""งบพรบ!DY39"")"),0)</f>
        <v>0</v>
      </c>
      <c r="N306" s="899">
        <f ca="1">IFERROR(__xludf.DUMMYFUNCTION("IMPORTRANGE(""https://docs.google.com/spreadsheets/d/1MeEWN-I1oV_STSDYn1IFDPWt_1FKiwhDph83XaGc0o0/edit?usp=sharing"",""งบพรบ!EA39"")"),0)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IFERROR(__xludf.DUMMYFUNCTION("IMPORTRANGE(""https://docs.google.com/spreadsheets/d/1QqKyyYR6Q21VydFLVH3TRQUabQu_ym0Zz7PgGX0-kHA/edit?usp=sharing"",""แผน!ED39"")"),0)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IFERROR(__xludf.DUMMYFUNCTION("IMPORTRANGE(""https://docs.google.com/spreadsheets/d/1QqKyyYR6Q21VydFLVH3TRQUabQu_ym0Zz7PgGX0-kHA/edit?usp=sharing"",""แผน!ED39"")"),0)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IFERROR(__xludf.DUMMYFUNCTION("IMPORTRANGE(""https://docs.google.com/spreadsheets/d/1QqKyyYR6Q21VydFLVH3TRQUabQu_ym0Zz7PgGX0-kHA/edit?usp=sharing"",""แผน!ED39"")"),0)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IFERROR(__xludf.DUMMYFUNCTION("IMPORTRANGE(""https://docs.google.com/spreadsheets/d/1QqKyyYR6Q21VydFLVH3TRQUabQu_ym0Zz7PgGX0-kHA/edit?usp=sharing"",""แผน!EE39"")"),0)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IFERROR(__xludf.DUMMYFUNCTION("IMPORTRANGE(""https://docs.google.com/spreadsheets/d/1MeEWN-I1oV_STSDYn1IFDPWt_1FKiwhDph83XaGc0o0/edit?usp=sharing"",""งบพรบ!EC39"")"),0)</f>
        <v>0</v>
      </c>
      <c r="M320" s="899">
        <f ca="1">IFERROR(__xludf.DUMMYFUNCTION("IMPORTRANGE(""https://docs.google.com/spreadsheets/d/1MeEWN-I1oV_STSDYn1IFDPWt_1FKiwhDph83XaGc0o0/edit?usp=sharing"",""งบพรบ!EH39"")"),0)</f>
        <v>0</v>
      </c>
      <c r="N320" s="899">
        <f ca="1">IFERROR(__xludf.DUMMYFUNCTION("IMPORTRANGE(""https://docs.google.com/spreadsheets/d/1MeEWN-I1oV_STSDYn1IFDPWt_1FKiwhDph83XaGc0o0/edit?usp=sharing"",""งบพรบ!EJ39"")"),0)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IFERROR(__xludf.DUMMYFUNCTION("IMPORTRANGE(""https://docs.google.com/spreadsheets/d/1MeEWN-I1oV_STSDYn1IFDPWt_1FKiwhDph83XaGc0o0/edit?usp=sharing"",""งบพรบ!EF39"")"),0)</f>
        <v>0</v>
      </c>
      <c r="M323" s="899">
        <f ca="1">IFERROR(__xludf.DUMMYFUNCTION("IMPORTRANGE(""https://docs.google.com/spreadsheets/d/1MeEWN-I1oV_STSDYn1IFDPWt_1FKiwhDph83XaGc0o0/edit?usp=sharing"",""งบพรบ!EI39"")"),0)</f>
        <v>0</v>
      </c>
      <c r="N323" s="899">
        <f ca="1">IFERROR(__xludf.DUMMYFUNCTION("IMPORTRANGE(""https://docs.google.com/spreadsheets/d/1MeEWN-I1oV_STSDYn1IFDPWt_1FKiwhDph83XaGc0o0/edit?usp=sharing"",""งบพรบ!EK39"")"),0)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IFERROR(__xludf.DUMMYFUNCTION("IMPORTRANGE(""https://docs.google.com/spreadsheets/d/1QqKyyYR6Q21VydFLVH3TRQUabQu_ym0Zz7PgGX0-kHA/edit?usp=sharing"",""แผน!EF39"")"),0)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IFERROR(__xludf.DUMMYFUNCTION("IMPORTRANGE(""https://docs.google.com/spreadsheets/d/1QqKyyYR6Q21VydFLVH3TRQUabQu_ym0Zz7PgGX0-kHA/edit?usp=sharing"",""แผน!EG39"")"),1000)</f>
        <v>1000</v>
      </c>
      <c r="J327" s="1202">
        <f ca="1">J338+J341+J342+J343</f>
        <v>1082</v>
      </c>
      <c r="K327" s="1203">
        <f ca="1">IF(I327&gt;0,J327*100/I327,0)</f>
        <v>108.2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161000</v>
      </c>
      <c r="M328" s="1004">
        <f t="shared" ca="1" si="149"/>
        <v>123250</v>
      </c>
      <c r="N328" s="1004">
        <f t="shared" ca="1" si="149"/>
        <v>75719</v>
      </c>
      <c r="O328" s="1004">
        <f t="shared" ref="O328:O336" ca="1" si="150">IF(L328&gt;0,N328*100/L328,0)</f>
        <v>47.030434782608694</v>
      </c>
      <c r="P328" s="1004">
        <f t="shared" ref="P328:P336" ca="1" si="151">IF(M328&gt;0,N328*100/M328,0)</f>
        <v>61.435294117647061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161000</v>
      </c>
      <c r="M330" s="899">
        <f t="shared" ca="1" si="152"/>
        <v>123250</v>
      </c>
      <c r="N330" s="899">
        <f t="shared" ca="1" si="152"/>
        <v>75719</v>
      </c>
      <c r="O330" s="899">
        <f t="shared" ca="1" si="150"/>
        <v>47.030434782608694</v>
      </c>
      <c r="P330" s="899">
        <f t="shared" ca="1" si="151"/>
        <v>61.435294117647061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161000</v>
      </c>
      <c r="M331" s="893">
        <f t="shared" ca="1" si="153"/>
        <v>123250</v>
      </c>
      <c r="N331" s="893">
        <f t="shared" ca="1" si="153"/>
        <v>75719</v>
      </c>
      <c r="O331" s="893">
        <f t="shared" ca="1" si="150"/>
        <v>47.030434782608694</v>
      </c>
      <c r="P331" s="893">
        <f t="shared" ca="1" si="151"/>
        <v>61.435294117647061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IFERROR(__xludf.DUMMYFUNCTION("IMPORTRANGE(""https://docs.google.com/spreadsheets/d/1MeEWN-I1oV_STSDYn1IFDPWt_1FKiwhDph83XaGc0o0/edit?usp=sharing"",""งบพรบ!EM39"")"),161000)</f>
        <v>161000</v>
      </c>
      <c r="M333" s="899">
        <f ca="1">IFERROR(__xludf.DUMMYFUNCTION("IMPORTRANGE(""https://docs.google.com/spreadsheets/d/1MeEWN-I1oV_STSDYn1IFDPWt_1FKiwhDph83XaGc0o0/edit?usp=sharing"",""งบพรบ!ER39"")"),123250)</f>
        <v>123250</v>
      </c>
      <c r="N333" s="899">
        <f ca="1">IFERROR(__xludf.DUMMYFUNCTION("IMPORTRANGE(""https://docs.google.com/spreadsheets/d/1MeEWN-I1oV_STSDYn1IFDPWt_1FKiwhDph83XaGc0o0/edit?usp=sharing"",""งบพรบ!ET39"")"),75719)</f>
        <v>75719</v>
      </c>
      <c r="O333" s="899">
        <f t="shared" ca="1" si="150"/>
        <v>47.030434782608694</v>
      </c>
      <c r="P333" s="899">
        <f t="shared" ca="1" si="151"/>
        <v>61.435294117647061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IFERROR(__xludf.DUMMYFUNCTION("IMPORTRANGE(""https://docs.google.com/spreadsheets/d/1MeEWN-I1oV_STSDYn1IFDPWt_1FKiwhDph83XaGc0o0/edit?usp=sharing"",""งบพรบ!EP39"")"),0)</f>
        <v>0</v>
      </c>
      <c r="M336" s="899">
        <f ca="1">IFERROR(__xludf.DUMMYFUNCTION("IMPORTRANGE(""https://docs.google.com/spreadsheets/d/1MeEWN-I1oV_STSDYn1IFDPWt_1FKiwhDph83XaGc0o0/edit?usp=sharing"",""งบพรบ!ES39"")"),0)</f>
        <v>0</v>
      </c>
      <c r="N336" s="899">
        <f ca="1">IFERROR(__xludf.DUMMYFUNCTION("IMPORTRANGE(""https://docs.google.com/spreadsheets/d/1MeEWN-I1oV_STSDYn1IFDPWt_1FKiwhDph83XaGc0o0/edit?usp=sharing"",""งบพรบ!EU39"")"),0)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IFERROR(__xludf.DUMMYFUNCTION("IMPORTRANGE(""https://docs.google.com/spreadsheets/d/1QqKyyYR6Q21VydFLVH3TRQUabQu_ym0Zz7PgGX0-kHA/edit?usp=sharing"",""แผน!EG39"")"),1000)</f>
        <v>1000</v>
      </c>
      <c r="J338" s="892">
        <f ca="1">IFERROR(__xludf.DUMMYFUNCTION("IMPORTRANGE(""https://docs.google.com/spreadsheets/d/1kVcqe37tkHyjCSG3S0O1AXqVkqjo8mSIZil3BcpIysc/edit?usp=sharing"",""ศูนย์!D39"")"),1041)</f>
        <v>1041</v>
      </c>
      <c r="K338" s="893">
        <f ca="1">IF(I338&gt;0,J338*100/I338,0)</f>
        <v>104.1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IFERROR(__xludf.DUMMYFUNCTION("IMPORTRANGE(""https://docs.google.com/spreadsheets/d/1QqKyyYR6Q21VydFLVH3TRQUabQu_ym0Zz7PgGX0-kHA/edit?usp=sharing"",""แผน!EH39"")"),4)</f>
        <v>4</v>
      </c>
      <c r="J340" s="892">
        <f ca="1">IFERROR(__xludf.DUMMYFUNCTION("IMPORTRANGE(""https://docs.google.com/spreadsheets/d/1kVcqe37tkHyjCSG3S0O1AXqVkqjo8mSIZil3BcpIysc/edit?usp=sharing"",""ศูนย์!E39"")"),1)</f>
        <v>1</v>
      </c>
      <c r="K340" s="893">
        <f ca="1">IF(I340&gt;0,J340*100/I340,0)</f>
        <v>25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IFERROR(__xludf.DUMMYFUNCTION("IMPORTRANGE(""https://docs.google.com/spreadsheets/d/1kVcqe37tkHyjCSG3S0O1AXqVkqjo8mSIZil3BcpIysc/edit?usp=sharing"",""ศูนย์!F39"")"),41)</f>
        <v>41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IFERROR(__xludf.DUMMYFUNCTION("IMPORTRANGE(""https://docs.google.com/spreadsheets/d/1kVcqe37tkHyjCSG3S0O1AXqVkqjo8mSIZil3BcpIysc/edit?usp=sharing"",""ศูนย์!G39"")"),0)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IFERROR(__xludf.DUMMYFUNCTION("IMPORTRANGE(""https://docs.google.com/spreadsheets/d/1kVcqe37tkHyjCSG3S0O1AXqVkqjo8mSIZil3BcpIysc/edit?usp=sharing"",""ศูนย์!H39"")"),0)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491410</v>
      </c>
      <c r="M345" s="1004">
        <f t="shared" ca="1" si="155"/>
        <v>379770</v>
      </c>
      <c r="N345" s="1004">
        <f t="shared" ca="1" si="155"/>
        <v>228425.3</v>
      </c>
      <c r="O345" s="1004">
        <f t="shared" ref="O345:O353" ca="1" si="156">IF(L345&gt;0,N345*100/L345,0)</f>
        <v>46.483649091390085</v>
      </c>
      <c r="P345" s="1004">
        <f t="shared" ref="P345:P353" ca="1" si="157">IF(M345&gt;0,N345*100/M345,0)</f>
        <v>60.148326618742921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491410</v>
      </c>
      <c r="M347" s="899">
        <f t="shared" ca="1" si="158"/>
        <v>379770</v>
      </c>
      <c r="N347" s="899">
        <f t="shared" ca="1" si="158"/>
        <v>228425.3</v>
      </c>
      <c r="O347" s="899">
        <f t="shared" ca="1" si="156"/>
        <v>46.483649091390085</v>
      </c>
      <c r="P347" s="899">
        <f t="shared" ca="1" si="157"/>
        <v>60.148326618742921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431410</v>
      </c>
      <c r="M348" s="893">
        <f t="shared" ca="1" si="159"/>
        <v>319770</v>
      </c>
      <c r="N348" s="893">
        <f t="shared" ca="1" si="159"/>
        <v>168425.3</v>
      </c>
      <c r="O348" s="893">
        <f t="shared" ca="1" si="156"/>
        <v>39.040657379291162</v>
      </c>
      <c r="P348" s="893">
        <f t="shared" ca="1" si="157"/>
        <v>52.670763361165839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IFERROR(__xludf.DUMMYFUNCTION("IMPORTRANGE(""https://docs.google.com/spreadsheets/d/1MeEWN-I1oV_STSDYn1IFDPWt_1FKiwhDph83XaGc0o0/edit?usp=sharing"",""งบพรบ!EW39"")"),431410)</f>
        <v>431410</v>
      </c>
      <c r="M350" s="899">
        <f ca="1">IFERROR(__xludf.DUMMYFUNCTION("IMPORTRANGE(""https://docs.google.com/spreadsheets/d/1MeEWN-I1oV_STSDYn1IFDPWt_1FKiwhDph83XaGc0o0/edit?usp=sharing"",""งบพรบ!FB39"")"),319770)</f>
        <v>319770</v>
      </c>
      <c r="N350" s="899">
        <f ca="1">IFERROR(__xludf.DUMMYFUNCTION("IMPORTRANGE(""https://docs.google.com/spreadsheets/d/1MeEWN-I1oV_STSDYn1IFDPWt_1FKiwhDph83XaGc0o0/edit?usp=sharing"",""งบพรบ!FD39"")"),168425.3)</f>
        <v>168425.3</v>
      </c>
      <c r="O350" s="899">
        <f t="shared" ca="1" si="156"/>
        <v>39.040657379291162</v>
      </c>
      <c r="P350" s="899">
        <f t="shared" ca="1" si="157"/>
        <v>52.670763361165839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60000</v>
      </c>
      <c r="M351" s="893">
        <f t="shared" ca="1" si="160"/>
        <v>60000</v>
      </c>
      <c r="N351" s="893">
        <f t="shared" ca="1" si="160"/>
        <v>60000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IFERROR(__xludf.DUMMYFUNCTION("IMPORTRANGE(""https://docs.google.com/spreadsheets/d/1MeEWN-I1oV_STSDYn1IFDPWt_1FKiwhDph83XaGc0o0/edit?usp=sharing"",""งบพรบ!EZ39"")"),60000)</f>
        <v>60000</v>
      </c>
      <c r="M353" s="899">
        <f ca="1">IFERROR(__xludf.DUMMYFUNCTION("IMPORTRANGE(""https://docs.google.com/spreadsheets/d/1MeEWN-I1oV_STSDYn1IFDPWt_1FKiwhDph83XaGc0o0/edit?usp=sharing"",""งบพรบ!FC39"")"),60000)</f>
        <v>60000</v>
      </c>
      <c r="N353" s="899">
        <f ca="1">IFERROR(__xludf.DUMMYFUNCTION("IMPORTRANGE(""https://docs.google.com/spreadsheets/d/1MeEWN-I1oV_STSDYn1IFDPWt_1FKiwhDph83XaGc0o0/edit?usp=sharing"",""งบพรบ!FE39"")"),60000)</f>
        <v>60000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IFERROR(__xludf.DUMMYFUNCTION("IMPORTRANGE(""https://docs.google.com/spreadsheets/d/1QqKyyYR6Q21VydFLVH3TRQUabQu_ym0Zz7PgGX0-kHA/edit?usp=sharing"",""แผน!EP39"")"),115)</f>
        <v>115</v>
      </c>
      <c r="J355" s="1218">
        <f ca="1">J362</f>
        <v>27</v>
      </c>
      <c r="K355" s="1219">
        <f ca="1">IF(I355&gt;0,J355*100/I355,0)</f>
        <v>23.478260869565219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IFERROR(__xludf.DUMMYFUNCTION("IMPORTRANGE(""https://docs.google.com/spreadsheets/d/1XWAQStnk-4SwqDmLtmXYiTMKHgktTP8We1SCoS47DrQ/edit?usp=sharing"",""จัดที่ดิน!W39"")"),51)</f>
        <v>51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IFERROR(__xludf.DUMMYFUNCTION("IMPORTRANGE(""https://docs.google.com/spreadsheets/d/1QqKyyYR6Q21VydFLVH3TRQUabQu_ym0Zz7PgGX0-kHA/edit?usp=sharing"",""แผน!EO39"")"),1150)</f>
        <v>1150</v>
      </c>
      <c r="J359" s="892">
        <f ca="1">IFERROR(__xludf.DUMMYFUNCTION("IMPORTRANGE(""https://docs.google.com/spreadsheets/d/1XWAQStnk-4SwqDmLtmXYiTMKHgktTP8We1SCoS47DrQ/edit?usp=sharing"",""จัดที่ดิน!X39"")"),546.62)</f>
        <v>546.62</v>
      </c>
      <c r="K359" s="893">
        <f t="shared" ca="1" si="161"/>
        <v>47.532173913043479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IFERROR(__xludf.DUMMYFUNCTION("IMPORTRANGE(""https://docs.google.com/spreadsheets/d/1QqKyyYR6Q21VydFLVH3TRQUabQu_ym0Zz7PgGX0-kHA/edit?usp=sharing"",""แผน!EP39"")"),115)</f>
        <v>115</v>
      </c>
      <c r="J360" s="892">
        <f ca="1">IFERROR(__xludf.DUMMYFUNCTION("IMPORTRANGE(""https://docs.google.com/spreadsheets/d/1XWAQStnk-4SwqDmLtmXYiTMKHgktTP8We1SCoS47DrQ/edit?usp=sharing"",""จัดที่ดิน!Y39"")"),51)</f>
        <v>51</v>
      </c>
      <c r="K360" s="893">
        <f t="shared" ca="1" si="161"/>
        <v>44.347826086956523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IFERROR(__xludf.DUMMYFUNCTION("IMPORTRANGE(""https://docs.google.com/spreadsheets/d/1XWAQStnk-4SwqDmLtmXYiTMKHgktTP8We1SCoS47DrQ/edit?usp=sharing"",""จัดที่ดิน!Z39"")"),546.62)</f>
        <v>546.62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IFERROR(__xludf.DUMMYFUNCTION("IMPORTRANGE(""https://docs.google.com/spreadsheets/d/1QqKyyYR6Q21VydFLVH3TRQUabQu_ym0Zz7PgGX0-kHA/edit?usp=sharing"",""แผน!EP39"")"),115)</f>
        <v>115</v>
      </c>
      <c r="J362" s="892">
        <f ca="1">IFERROR(__xludf.DUMMYFUNCTION("IMPORTRANGE(""https://docs.google.com/spreadsheets/d/1XWAQStnk-4SwqDmLtmXYiTMKHgktTP8We1SCoS47DrQ/edit?usp=sharing"",""จัดที่ดิน!AA39"")"),27)</f>
        <v>27</v>
      </c>
      <c r="K362" s="893">
        <f t="shared" ca="1" si="161"/>
        <v>23.478260869565219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IFERROR(__xludf.DUMMYFUNCTION("IMPORTRANGE(""https://docs.google.com/spreadsheets/d/1XWAQStnk-4SwqDmLtmXYiTMKHgktTP8We1SCoS47DrQ/edit?usp=sharing"",""จัดที่ดิน!AB39"")"),345.32)</f>
        <v>345.32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315</v>
      </c>
      <c r="J364" s="1231">
        <f t="shared" ca="1" si="162"/>
        <v>185</v>
      </c>
      <c r="K364" s="1232">
        <f t="shared" ca="1" si="161"/>
        <v>58.730158730158728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IFERROR(__xludf.DUMMYFUNCTION("IMPORTRANGE(""https://docs.google.com/spreadsheets/d/1QqKyyYR6Q21VydFLVH3TRQUabQu_ym0Zz7PgGX0-kHA/edit?usp=sharing"",""แผน!EJ39"")"),15)</f>
        <v>15</v>
      </c>
      <c r="J365" s="1239">
        <f ca="1">J372</f>
        <v>3</v>
      </c>
      <c r="K365" s="1240">
        <f t="shared" ca="1" si="161"/>
        <v>20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IFERROR(__xludf.DUMMYFUNCTION("IMPORTRANGE(""https://docs.google.com/spreadsheets/d/1XWAQStnk-4SwqDmLtmXYiTMKHgktTP8We1SCoS47DrQ/edit?usp=sharing"",""จัดที่ดิน!E39"")"),3)</f>
        <v>3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IFERROR(__xludf.DUMMYFUNCTION("IMPORTRANGE(""https://docs.google.com/spreadsheets/d/1QqKyyYR6Q21VydFLVH3TRQUabQu_ym0Zz7PgGX0-kHA/edit?usp=sharing"",""แผน!EI39"")"),150)</f>
        <v>150</v>
      </c>
      <c r="J369" s="892">
        <f ca="1">IFERROR(__xludf.DUMMYFUNCTION("IMPORTRANGE(""https://docs.google.com/spreadsheets/d/1XWAQStnk-4SwqDmLtmXYiTMKHgktTP8We1SCoS47DrQ/edit?usp=sharing"",""จัดที่ดิน!F39"")"),4.71)</f>
        <v>4.71</v>
      </c>
      <c r="K369" s="893">
        <f t="shared" ca="1" si="163"/>
        <v>3.14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IFERROR(__xludf.DUMMYFUNCTION("IMPORTRANGE(""https://docs.google.com/spreadsheets/d/1QqKyyYR6Q21VydFLVH3TRQUabQu_ym0Zz7PgGX0-kHA/edit?usp=sharing"",""แผน!EJ39"")"),15)</f>
        <v>15</v>
      </c>
      <c r="J370" s="892">
        <f ca="1">IFERROR(__xludf.DUMMYFUNCTION("IMPORTRANGE(""https://docs.google.com/spreadsheets/d/1XWAQStnk-4SwqDmLtmXYiTMKHgktTP8We1SCoS47DrQ/edit?usp=sharing"",""จัดที่ดิน!G39"")"),3)</f>
        <v>3</v>
      </c>
      <c r="K370" s="893">
        <f t="shared" ca="1" si="163"/>
        <v>20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IFERROR(__xludf.DUMMYFUNCTION("IMPORTRANGE(""https://docs.google.com/spreadsheets/d/1XWAQStnk-4SwqDmLtmXYiTMKHgktTP8We1SCoS47DrQ/edit?usp=sharing"",""จัดที่ดิน!H39"")"),4.71)</f>
        <v>4.71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IFERROR(__xludf.DUMMYFUNCTION("IMPORTRANGE(""https://docs.google.com/spreadsheets/d/1QqKyyYR6Q21VydFLVH3TRQUabQu_ym0Zz7PgGX0-kHA/edit?usp=sharing"",""แผน!EJ39"")"),15)</f>
        <v>15</v>
      </c>
      <c r="J372" s="892">
        <f ca="1">IFERROR(__xludf.DUMMYFUNCTION("IMPORTRANGE(""https://docs.google.com/spreadsheets/d/1XWAQStnk-4SwqDmLtmXYiTMKHgktTP8We1SCoS47DrQ/edit?usp=sharing"",""จัดที่ดิน!I39"")"),3)</f>
        <v>3</v>
      </c>
      <c r="K372" s="893">
        <f t="shared" ca="1" si="163"/>
        <v>20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IFERROR(__xludf.DUMMYFUNCTION("IMPORTRANGE(""https://docs.google.com/spreadsheets/d/1XWAQStnk-4SwqDmLtmXYiTMKHgktTP8We1SCoS47DrQ/edit?usp=sharing"",""จัดที่ดิน!J39"")"),4.71)</f>
        <v>4.71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IFERROR(__xludf.DUMMYFUNCTION("IMPORTRANGE(""https://docs.google.com/spreadsheets/d/1QqKyyYR6Q21VydFLVH3TRQUabQu_ym0Zz7PgGX0-kHA/edit?usp=sharing"",""แผน!EU39"")"),300)</f>
        <v>300</v>
      </c>
      <c r="J374" s="1239">
        <f ca="1">J381</f>
        <v>182</v>
      </c>
      <c r="K374" s="1240">
        <f t="shared" ca="1" si="163"/>
        <v>60.666666666666664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IFERROR(__xludf.DUMMYFUNCTION("IMPORTRANGE(""https://docs.google.com/spreadsheets/d/1XWAQStnk-4SwqDmLtmXYiTMKHgktTP8We1SCoS47DrQ/edit?usp=sharing"",""จัดที่ดิน!AH39"")"),48)</f>
        <v>48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IFERROR(__xludf.DUMMYFUNCTION("IMPORTRANGE(""https://docs.google.com/spreadsheets/d/1QqKyyYR6Q21VydFLVH3TRQUabQu_ym0Zz7PgGX0-kHA/edit?usp=sharing"",""แผน!ET39"")"),1000)</f>
        <v>1000</v>
      </c>
      <c r="J378" s="892">
        <f ca="1">IFERROR(__xludf.DUMMYFUNCTION("IMPORTRANGE(""https://docs.google.com/spreadsheets/d/1XWAQStnk-4SwqDmLtmXYiTMKHgktTP8We1SCoS47DrQ/edit?usp=sharing"",""จัดที่ดิน!AI39"")"),541.91)</f>
        <v>541.91</v>
      </c>
      <c r="K378" s="893">
        <f t="shared" ca="1" si="164"/>
        <v>54.191000000000003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IFERROR(__xludf.DUMMYFUNCTION("IMPORTRANGE(""https://docs.google.com/spreadsheets/d/1QqKyyYR6Q21VydFLVH3TRQUabQu_ym0Zz7PgGX0-kHA/edit?usp=sharing"",""แผน!EU39"")"),300)</f>
        <v>300</v>
      </c>
      <c r="J379" s="892">
        <f ca="1">IFERROR(__xludf.DUMMYFUNCTION("IMPORTRANGE(""https://docs.google.com/spreadsheets/d/1XWAQStnk-4SwqDmLtmXYiTMKHgktTP8We1SCoS47DrQ/edit?usp=sharing"",""จัดที่ดิน!AJ39"")"),254)</f>
        <v>254</v>
      </c>
      <c r="K379" s="893">
        <f t="shared" ca="1" si="164"/>
        <v>84.666666666666671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IFERROR(__xludf.DUMMYFUNCTION("IMPORTRANGE(""https://docs.google.com/spreadsheets/d/1XWAQStnk-4SwqDmLtmXYiTMKHgktTP8We1SCoS47DrQ/edit?usp=sharing"",""จัดที่ดิน!AK39"")"),2793.25999999999)</f>
        <v>2793.2599999999902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IFERROR(__xludf.DUMMYFUNCTION("IMPORTRANGE(""https://docs.google.com/spreadsheets/d/1QqKyyYR6Q21VydFLVH3TRQUabQu_ym0Zz7PgGX0-kHA/edit?usp=sharing"",""แผน!EU39"")"),300)</f>
        <v>300</v>
      </c>
      <c r="J381" s="892">
        <f ca="1">IFERROR(__xludf.DUMMYFUNCTION("IMPORTRANGE(""https://docs.google.com/spreadsheets/d/1XWAQStnk-4SwqDmLtmXYiTMKHgktTP8We1SCoS47DrQ/edit?usp=sharing"",""จัดที่ดิน!AL39"")"),182)</f>
        <v>182</v>
      </c>
      <c r="K381" s="893">
        <f t="shared" ca="1" si="164"/>
        <v>60.666666666666664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IFERROR(__xludf.DUMMYFUNCTION("IMPORTRANGE(""https://docs.google.com/spreadsheets/d/1XWAQStnk-4SwqDmLtmXYiTMKHgktTP8We1SCoS47DrQ/edit?usp=sharing"",""จัดที่ดิน!AM39"")"),2109.62)</f>
        <v>2109.62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IFERROR(__xludf.DUMMYFUNCTION("IMPORTRANGE(""https://docs.google.com/spreadsheets/d/1QqKyyYR6Q21VydFLVH3TRQUabQu_ym0Zz7PgGX0-kHA/edit?usp=sharing"",""แผน!EW39"")"),20)</f>
        <v>20</v>
      </c>
      <c r="J385" s="1149">
        <f ca="1">IFERROR(__xludf.DUMMYFUNCTION("IMPORTRANGE(""https://docs.google.com/spreadsheets/d/1XWAQStnk-4SwqDmLtmXYiTMKHgktTP8We1SCoS47DrQ/edit?usp=sharing"",""จัดที่ดิน!AP39"")"),7)</f>
        <v>7</v>
      </c>
      <c r="K385" s="1251">
        <f ca="1">IF(I385&gt;0,J385*100/I385,0)</f>
        <v>35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IFERROR(__xludf.DUMMYFUNCTION("IMPORTRANGE(""https://docs.google.com/spreadsheets/d/1MeEWN-I1oV_STSDYn1IFDPWt_1FKiwhDph83XaGc0o0/edit?usp=sharing"",""งบพรบ!FG39"")"),0)</f>
        <v>0</v>
      </c>
      <c r="M394" s="899">
        <f ca="1">IFERROR(__xludf.DUMMYFUNCTION("IMPORTRANGE(""https://docs.google.com/spreadsheets/d/1MeEWN-I1oV_STSDYn1IFDPWt_1FKiwhDph83XaGc0o0/edit?usp=sharing"",""งบพรบ!FL39"")"),0)</f>
        <v>0</v>
      </c>
      <c r="N394" s="899">
        <f ca="1">IFERROR(__xludf.DUMMYFUNCTION("IMPORTRANGE(""https://docs.google.com/spreadsheets/d/1MeEWN-I1oV_STSDYn1IFDPWt_1FKiwhDph83XaGc0o0/edit?usp=sharing"",""งบพรบ!FN39"")"),0)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IFERROR(__xludf.DUMMYFUNCTION("IMPORTRANGE(""https://docs.google.com/spreadsheets/d/1MeEWN-I1oV_STSDYn1IFDPWt_1FKiwhDph83XaGc0o0/edit?usp=sharing"",""งบพรบ!FJ39"")"),0)</f>
        <v>0</v>
      </c>
      <c r="M397" s="899">
        <f ca="1">IFERROR(__xludf.DUMMYFUNCTION("IMPORTRANGE(""https://docs.google.com/spreadsheets/d/1MeEWN-I1oV_STSDYn1IFDPWt_1FKiwhDph83XaGc0o0/edit?usp=sharing"",""งบพรบ!FM39"")"),0)</f>
        <v>0</v>
      </c>
      <c r="N397" s="899">
        <f ca="1">IFERROR(__xludf.DUMMYFUNCTION("IMPORTRANGE(""https://docs.google.com/spreadsheets/d/1MeEWN-I1oV_STSDYn1IFDPWt_1FKiwhDph83XaGc0o0/edit?usp=sharing"",""งบพรบ!FO39"")"),0)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IFERROR(__xludf.DUMMYFUNCTION("IMPORTRANGE(""https://docs.google.com/spreadsheets/d/1MeEWN-I1oV_STSDYn1IFDPWt_1FKiwhDph83XaGc0o0/edit?usp=sharing"",""งบพรบ!FQ39"")"),0)</f>
        <v>0</v>
      </c>
      <c r="M407" s="899">
        <f ca="1">IFERROR(__xludf.DUMMYFUNCTION("IMPORTRANGE(""https://docs.google.com/spreadsheets/d/1MeEWN-I1oV_STSDYn1IFDPWt_1FKiwhDph83XaGc0o0/edit?usp=sharing"",""งบพรบ!FV39"")"),0)</f>
        <v>0</v>
      </c>
      <c r="N407" s="899">
        <f ca="1">IFERROR(__xludf.DUMMYFUNCTION("IMPORTRANGE(""https://docs.google.com/spreadsheets/d/1MeEWN-I1oV_STSDYn1IFDPWt_1FKiwhDph83XaGc0o0/edit?usp=sharing"",""งบพรบ!FX39"")"),0)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IFERROR(__xludf.DUMMYFUNCTION("IMPORTRANGE(""https://docs.google.com/spreadsheets/d/1MeEWN-I1oV_STSDYn1IFDPWt_1FKiwhDph83XaGc0o0/edit?usp=sharing"",""งบพรบ!FT39"")"),0)</f>
        <v>0</v>
      </c>
      <c r="M410" s="899">
        <f ca="1">IFERROR(__xludf.DUMMYFUNCTION("IMPORTRANGE(""https://docs.google.com/spreadsheets/d/1MeEWN-I1oV_STSDYn1IFDPWt_1FKiwhDph83XaGc0o0/edit?usp=sharing"",""งบพรบ!FW39"")"),0)</f>
        <v>0</v>
      </c>
      <c r="N410" s="899">
        <f ca="1">IFERROR(__xludf.DUMMYFUNCTION("IMPORTRANGE(""https://docs.google.com/spreadsheets/d/1MeEWN-I1oV_STSDYn1IFDPWt_1FKiwhDph83XaGc0o0/edit?usp=sharing"",""งบพรบ!FY39"")"),0)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2432730</v>
      </c>
      <c r="M414" s="1293">
        <f t="shared" ca="1" si="181"/>
        <v>2431052</v>
      </c>
      <c r="N414" s="1293">
        <f t="shared" si="181"/>
        <v>690584.4</v>
      </c>
      <c r="O414" s="1293">
        <f ca="1">IF(L414&gt;0,N414*100/L414,0)</f>
        <v>28.387219296839355</v>
      </c>
      <c r="P414" s="1293">
        <f ca="1">IF(M414&gt;0,N414*100/M414,0)</f>
        <v>28.406813182112106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98560</v>
      </c>
      <c r="M419" s="1004">
        <f t="shared" ca="1" si="184"/>
        <v>98560</v>
      </c>
      <c r="N419" s="1004">
        <f t="shared" si="184"/>
        <v>85890</v>
      </c>
      <c r="O419" s="1004">
        <f t="shared" ref="O419:O424" ca="1" si="185">IF(L419&gt;0,N419*100/L419,0)</f>
        <v>87.14488636363636</v>
      </c>
      <c r="P419" s="1004">
        <f t="shared" ref="P419:P424" ca="1" si="186">IF(M419&gt;0,N419*100/M419,0)</f>
        <v>87.14488636363636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98560</v>
      </c>
      <c r="M421" s="899">
        <f t="shared" ca="1" si="187"/>
        <v>98560</v>
      </c>
      <c r="N421" s="899">
        <f t="shared" si="187"/>
        <v>85890</v>
      </c>
      <c r="O421" s="899">
        <f t="shared" ca="1" si="185"/>
        <v>87.14488636363636</v>
      </c>
      <c r="P421" s="899">
        <f t="shared" ca="1" si="186"/>
        <v>87.14488636363636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98560</v>
      </c>
      <c r="M422" s="893">
        <f t="shared" ca="1" si="188"/>
        <v>98560</v>
      </c>
      <c r="N422" s="893">
        <f t="shared" si="188"/>
        <v>85890</v>
      </c>
      <c r="O422" s="893">
        <f t="shared" ca="1" si="185"/>
        <v>87.14488636363636</v>
      </c>
      <c r="P422" s="893">
        <f t="shared" ca="1" si="186"/>
        <v>87.14488636363636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IFERROR(__xludf.DUMMYFUNCTION("IMPORTRANGE(""https://docs.google.com/spreadsheets/d/1QqKyyYR6Q21VydFLVH3TRQUabQu_ym0Zz7PgGX0-kHA/edit?usp=sharing"",""แผน!EY39"")"),98560)</f>
        <v>98560</v>
      </c>
      <c r="M424" s="899">
        <f ca="1">L424</f>
        <v>98560</v>
      </c>
      <c r="N424" s="899">
        <f>N425+N426+N427+N428</f>
        <v>85890</v>
      </c>
      <c r="O424" s="899">
        <f t="shared" ca="1" si="185"/>
        <v>87.14488636363636</v>
      </c>
      <c r="P424" s="899">
        <f t="shared" ca="1" si="186"/>
        <v>87.14488636363636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70556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15334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IFERROR(__xludf.DUMMYFUNCTION("IMPORTRANGE(""https://docs.google.com/spreadsheets/d/1QqKyyYR6Q21VydFLVH3TRQUabQu_ym0Zz7PgGX0-kHA/edit?usp=sharing"",""แผน!FB39"")"),0)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IFERROR(__xludf.DUMMYFUNCTION("IMPORTRANGE(""https://docs.google.com/spreadsheets/d/1QqKyyYR6Q21VydFLVH3TRQUabQu_ym0Zz7PgGX0-kHA/edit?usp=sharing"",""แผน!FE39"")"),0)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IFERROR(__xludf.DUMMYFUNCTION("IMPORTRANGE(""https://docs.google.com/spreadsheets/d/1QqKyyYR6Q21VydFLVH3TRQUabQu_ym0Zz7PgGX0-kHA/edit?usp=sharing"",""แผน!FG39"")"),1)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IFERROR(__xludf.DUMMYFUNCTION("IMPORTRANGE(""https://docs.google.com/spreadsheets/d/1QqKyyYR6Q21VydFLVH3TRQUabQu_ym0Zz7PgGX0-kHA/edit?usp=sharing"",""แผน!FH39"")"),0)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100</v>
      </c>
      <c r="J442" s="1322">
        <f t="shared" si="195"/>
        <v>80</v>
      </c>
      <c r="K442" s="1323">
        <f t="shared" ca="1" si="194"/>
        <v>80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240</v>
      </c>
      <c r="J443" s="1306">
        <f t="shared" si="196"/>
        <v>200</v>
      </c>
      <c r="K443" s="1307">
        <f t="shared" ca="1" si="194"/>
        <v>83.333333333333329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614288</v>
      </c>
      <c r="M444" s="1032">
        <f t="shared" ca="1" si="197"/>
        <v>612610</v>
      </c>
      <c r="N444" s="1032">
        <f t="shared" si="197"/>
        <v>176180</v>
      </c>
      <c r="O444" s="1032">
        <f t="shared" ref="O444:O449" ca="1" si="198">IF(L444&gt;0,N444*100/L444,0)</f>
        <v>28.680358398666424</v>
      </c>
      <c r="P444" s="1032">
        <f t="shared" ref="P444:P449" ca="1" si="199">IF(M444&gt;0,N444*100/M444,0)</f>
        <v>28.758916765968561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614288</v>
      </c>
      <c r="M446" s="899">
        <f t="shared" ca="1" si="200"/>
        <v>612610</v>
      </c>
      <c r="N446" s="899">
        <f t="shared" si="200"/>
        <v>176180</v>
      </c>
      <c r="O446" s="899">
        <f t="shared" ca="1" si="198"/>
        <v>28.680358398666424</v>
      </c>
      <c r="P446" s="899">
        <f t="shared" ca="1" si="199"/>
        <v>28.758916765968561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614288</v>
      </c>
      <c r="M447" s="893">
        <f t="shared" ca="1" si="201"/>
        <v>612610</v>
      </c>
      <c r="N447" s="893">
        <f t="shared" si="201"/>
        <v>176180</v>
      </c>
      <c r="O447" s="893">
        <f t="shared" ca="1" si="198"/>
        <v>28.680358398666424</v>
      </c>
      <c r="P447" s="893">
        <f t="shared" ca="1" si="199"/>
        <v>28.758916765968561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IFERROR(__xludf.DUMMYFUNCTION("IMPORTRANGE(""https://docs.google.com/spreadsheets/d/1QqKyyYR6Q21VydFLVH3TRQUabQu_ym0Zz7PgGX0-kHA/edit?usp=sharing"",""แผน!FJ39"")"),614288)</f>
        <v>614288</v>
      </c>
      <c r="M449" s="899">
        <f ca="1">L449-1678</f>
        <v>612610</v>
      </c>
      <c r="N449" s="899">
        <f>N450+N451+N452+N453</f>
        <v>176180</v>
      </c>
      <c r="O449" s="899">
        <f t="shared" ca="1" si="198"/>
        <v>28.680358398666424</v>
      </c>
      <c r="P449" s="899">
        <f t="shared" ca="1" si="199"/>
        <v>28.758916765968561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86180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3500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21500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IFERROR(__xludf.DUMMYFUNCTION("IMPORTRANGE(""https://docs.google.com/spreadsheets/d/1QqKyyYR6Q21VydFLVH3TRQUabQu_ym0Zz7PgGX0-kHA/edit?usp=sharing"",""แผน!FM39"")"),0)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IFERROR(__xludf.DUMMYFUNCTION("IMPORTRANGE(""https://docs.google.com/spreadsheets/d/1QqKyyYR6Q21VydFLVH3TRQUabQu_ym0Zz7PgGX0-kHA/edit?usp=sharing"",""แผน!FN39"")"),100)</f>
        <v>100</v>
      </c>
      <c r="J460" s="1024">
        <v>80</v>
      </c>
      <c r="K460" s="893">
        <f ca="1">IF(I460&gt;0,J460*100/I460,0)</f>
        <v>80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IFERROR(__xludf.DUMMYFUNCTION("IMPORTRANGE(""https://docs.google.com/spreadsheets/d/1QqKyyYR6Q21VydFLVH3TRQUabQu_ym0Zz7PgGX0-kHA/edit?usp=sharing"",""แผน!FO39"")"),240)</f>
        <v>240</v>
      </c>
      <c r="J462" s="1024">
        <v>200</v>
      </c>
      <c r="K462" s="893">
        <f t="shared" ref="K462:K466" ca="1" si="205">IF(I462&gt;0,J462*100/I462,0)</f>
        <v>83.333333333333329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IFERROR(__xludf.DUMMYFUNCTION("IMPORTRANGE(""https://docs.google.com/spreadsheets/d/1QqKyyYR6Q21VydFLVH3TRQUabQu_ym0Zz7PgGX0-kHA/edit?usp=sharing"",""แผน!FO39"")"),240)</f>
        <v>240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IFERROR(__xludf.DUMMYFUNCTION("IMPORTRANGE(""https://docs.google.com/spreadsheets/d/1QqKyyYR6Q21VydFLVH3TRQUabQu_ym0Zz7PgGX0-kHA/edit?usp=sharing"",""แผน!FN39"")"),100)</f>
        <v>100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IFERROR(__xludf.DUMMYFUNCTION("IMPORTRANGE(""https://docs.google.com/spreadsheets/d/1QqKyyYR6Q21VydFLVH3TRQUabQu_ym0Zz7PgGX0-kHA/edit?usp=sharing"",""แผน!FX39"")"),131)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IFERROR(__xludf.DUMMYFUNCTION("IMPORTRANGE(""https://docs.google.com/spreadsheets/d/1QqKyyYR6Q21VydFLVH3TRQUabQu_ym0Zz7PgGX0-kHA/edit?usp=sharing"",""แผน!FW39"")"),1300)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1170118</v>
      </c>
      <c r="M467" s="1032">
        <f t="shared" ca="1" si="206"/>
        <v>1170118</v>
      </c>
      <c r="N467" s="1032">
        <f t="shared" si="206"/>
        <v>169809</v>
      </c>
      <c r="O467" s="1032">
        <f t="shared" ref="O467:O472" ca="1" si="207">IF(L467&gt;0,N467*100/L467,0)</f>
        <v>14.512126127450394</v>
      </c>
      <c r="P467" s="1032">
        <f t="shared" ref="P467:P472" ca="1" si="208">IF(M467&gt;0,N467*100/M467,0)</f>
        <v>14.512126127450394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1170118</v>
      </c>
      <c r="M469" s="899">
        <f t="shared" ca="1" si="209"/>
        <v>1170118</v>
      </c>
      <c r="N469" s="899">
        <f t="shared" si="209"/>
        <v>169809</v>
      </c>
      <c r="O469" s="899">
        <f t="shared" ca="1" si="207"/>
        <v>14.512126127450394</v>
      </c>
      <c r="P469" s="899">
        <f t="shared" ca="1" si="208"/>
        <v>14.512126127450394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1170118</v>
      </c>
      <c r="M470" s="893">
        <f t="shared" ca="1" si="210"/>
        <v>1170118</v>
      </c>
      <c r="N470" s="893">
        <f t="shared" si="210"/>
        <v>169809</v>
      </c>
      <c r="O470" s="893">
        <f t="shared" ca="1" si="207"/>
        <v>14.512126127450394</v>
      </c>
      <c r="P470" s="893">
        <f t="shared" ca="1" si="208"/>
        <v>14.512126127450394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IFERROR(__xludf.DUMMYFUNCTION("IMPORTRANGE(""https://docs.google.com/spreadsheets/d/1QqKyyYR6Q21VydFLVH3TRQUabQu_ym0Zz7PgGX0-kHA/edit?usp=sharing"",""แผน!FS39"")"),1170118)</f>
        <v>1170118</v>
      </c>
      <c r="M472" s="899">
        <f ca="1">L472</f>
        <v>1170118</v>
      </c>
      <c r="N472" s="899">
        <f>N473+N474+N475+N476</f>
        <v>169809</v>
      </c>
      <c r="O472" s="899">
        <f t="shared" ca="1" si="207"/>
        <v>14.512126127450394</v>
      </c>
      <c r="P472" s="899">
        <f t="shared" ca="1" si="208"/>
        <v>14.512126127450394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96419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7050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1340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IFERROR(__xludf.DUMMYFUNCTION("IMPORTRANGE(""https://docs.google.com/spreadsheets/d/1QqKyyYR6Q21VydFLVH3TRQUabQu_ym0Zz7PgGX0-kHA/edit?usp=sharing"",""แผน!FV39"")"),0)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IFERROR(__xludf.DUMMYFUNCTION("IMPORTRANGE(""https://docs.google.com/spreadsheets/d/1QqKyyYR6Q21VydFLVH3TRQUabQu_ym0Zz7PgGX0-kHA/edit?usp=sharing"",""แผน!FY39"")"),1170)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256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IFERROR(__xludf.DUMMYFUNCTION("IMPORTRANGE(""https://docs.google.com/spreadsheets/d/1QqKyyYR6Q21VydFLVH3TRQUabQu_ym0Zz7PgGX0-kHA/edit?usp=sharing"",""แผน!FZ39"")"),117)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IFERROR(__xludf.DUMMYFUNCTION("IMPORTRANGE(""https://docs.google.com/spreadsheets/d/1QqKyyYR6Q21VydFLVH3TRQUabQu_ym0Zz7PgGX0-kHA/edit?usp=sharing"",""แผน!GA39"")"),130)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14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IFERROR(__xludf.DUMMYFUNCTION("IMPORTRANGE(""https://docs.google.com/spreadsheets/d/1QqKyyYR6Q21VydFLVH3TRQUabQu_ym0Zz7PgGX0-kHA/edit?usp=sharing"",""แผน!GB39"")"),13)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IFERROR(__xludf.DUMMYFUNCTION("IMPORTRANGE(""https://docs.google.com/spreadsheets/d/1QqKyyYR6Q21VydFLVH3TRQUabQu_ym0Zz7PgGX0-kHA/edit?usp=sharing"",""แผน!GC39"")"),1)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IFERROR(__xludf.DUMMYFUNCTION("IMPORTRANGE(""https://docs.google.com/spreadsheets/d/1QqKyyYR6Q21VydFLVH3TRQUabQu_ym0Zz7PgGX0-kHA/edit?usp=sharing"",""แผน!FY39"")"),1170)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IFERROR(__xludf.DUMMYFUNCTION("IMPORTRANGE(""https://docs.google.com/spreadsheets/d/1QqKyyYR6Q21VydFLVH3TRQUabQu_ym0Zz7PgGX0-kHA/edit?usp=sharing"",""แผน!GA39"")"),130)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IFERROR(__xludf.DUMMYFUNCTION("IMPORTRANGE(""https://docs.google.com/spreadsheets/d/1QqKyyYR6Q21VydFLVH3TRQUabQu_ym0Zz7PgGX0-kHA/edit?usp=sharing"",""แผน!GQ39"")"),0)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IFERROR(__xludf.DUMMYFUNCTION("IMPORTRANGE(""https://docs.google.com/spreadsheets/d/1QqKyyYR6Q21VydFLVH3TRQUabQu_ym0Zz7PgGX0-kHA/edit?usp=sharing"",""แผน!GT39"")"),0)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IFERROR(__xludf.DUMMYFUNCTION("IMPORTRANGE(""https://docs.google.com/spreadsheets/d/1QqKyyYR6Q21VydFLVH3TRQUabQu_ym0Zz7PgGX0-kHA/edit?usp=sharing"",""แผน!GU39"")"),0)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IFERROR(__xludf.DUMMYFUNCTION("IMPORTRANGE(""https://docs.google.com/spreadsheets/d/1QqKyyYR6Q21VydFLVH3TRQUabQu_ym0Zz7PgGX0-kHA/edit?usp=sharing"",""แผน!GV39"")"),0)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IFERROR(__xludf.DUMMYFUNCTION("IMPORTRANGE(""https://docs.google.com/spreadsheets/d/1QqKyyYR6Q21VydFLVH3TRQUabQu_ym0Zz7PgGX0-kHA/edit?usp=sharing"",""แผน!GW39"")"),0)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IFERROR(__xludf.DUMMYFUNCTION("IMPORTRANGE(""https://docs.google.com/spreadsheets/d/1QqKyyYR6Q21VydFLVH3TRQUabQu_ym0Zz7PgGX0-kHA/edit?usp=sharing"",""แผน!GX39"")"),0)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IFERROR(__xludf.DUMMYFUNCTION("IMPORTRANGE(""https://docs.google.com/spreadsheets/d/1QqKyyYR6Q21VydFLVH3TRQUabQu_ym0Zz7PgGX0-kHA/edit?usp=sharing"",""แผน!GY39"")"),0)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IFERROR(__xludf.DUMMYFUNCTION("IMPORTRANGE(""https://docs.google.com/spreadsheets/d/1QqKyyYR6Q21VydFLVH3TRQUabQu_ym0Zz7PgGX0-kHA/edit?usp=sharing"",""แผน!GZ39"")"),0)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36261</v>
      </c>
      <c r="J543" s="1396">
        <f t="shared" si="235"/>
        <v>36260.94</v>
      </c>
      <c r="K543" s="1397">
        <f t="shared" ca="1" si="234"/>
        <v>99.999834532969302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372469</v>
      </c>
      <c r="M544" s="1004">
        <f t="shared" ca="1" si="236"/>
        <v>372469</v>
      </c>
      <c r="N544" s="1004">
        <f t="shared" si="236"/>
        <v>215507.4</v>
      </c>
      <c r="O544" s="1004">
        <f t="shared" ref="O544:O549" ca="1" si="237">IF(L544&gt;0,N544*100/L544,0)</f>
        <v>57.859150694420208</v>
      </c>
      <c r="P544" s="1004">
        <f t="shared" ref="P544:P549" ca="1" si="238">IF(M544&gt;0,N544*100/M544,0)</f>
        <v>57.859150694420208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372469</v>
      </c>
      <c r="M546" s="899">
        <f t="shared" ca="1" si="240"/>
        <v>372469</v>
      </c>
      <c r="N546" s="899">
        <f t="shared" si="240"/>
        <v>215507.4</v>
      </c>
      <c r="O546" s="899">
        <f t="shared" ca="1" si="237"/>
        <v>57.859150694420208</v>
      </c>
      <c r="P546" s="899">
        <f t="shared" ca="1" si="238"/>
        <v>57.859150694420208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372469</v>
      </c>
      <c r="M547" s="893">
        <f t="shared" ca="1" si="241"/>
        <v>372469</v>
      </c>
      <c r="N547" s="893">
        <f t="shared" si="241"/>
        <v>215507.4</v>
      </c>
      <c r="O547" s="893">
        <f t="shared" ca="1" si="237"/>
        <v>57.859150694420208</v>
      </c>
      <c r="P547" s="893">
        <f t="shared" ca="1" si="238"/>
        <v>57.859150694420208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IFERROR(__xludf.DUMMYFUNCTION("IMPORTRANGE(""https://docs.google.com/spreadsheets/d/1QqKyyYR6Q21VydFLVH3TRQUabQu_ym0Zz7PgGX0-kHA/edit?usp=sharing"",""แผน!HB39"")"),372469)</f>
        <v>372469</v>
      </c>
      <c r="M549" s="899">
        <f ca="1">L549</f>
        <v>372469</v>
      </c>
      <c r="N549" s="899">
        <f>N550+N551+N552+N553+N554</f>
        <v>215507.4</v>
      </c>
      <c r="O549" s="899">
        <f t="shared" ca="1" si="237"/>
        <v>57.859150694420208</v>
      </c>
      <c r="P549" s="899">
        <f t="shared" ca="1" si="238"/>
        <v>57.859150694420208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150507.4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IFERROR(__xludf.DUMMYFUNCTION("IMPORTRANGE(""https://docs.google.com/spreadsheets/d/1QqKyyYR6Q21VydFLVH3TRQUabQu_ym0Zz7PgGX0-kHA/edit?usp=sharing"",""แผน!HF39"")"),0)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36261</v>
      </c>
      <c r="J559" s="1389">
        <f t="shared" si="245"/>
        <v>36260.94</v>
      </c>
      <c r="K559" s="1390">
        <f t="shared" ref="K559:K561" ca="1" si="246">IF(I559&gt;0,J559*100/I559,0)</f>
        <v>99.999834532969302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IFERROR(__xludf.DUMMYFUNCTION("IMPORTRANGE(""https://docs.google.com/spreadsheets/d/1QqKyyYR6Q21VydFLVH3TRQUabQu_ym0Zz7PgGX0-kHA/edit?usp=sharing"",""แผน!HH39"")"),36261)</f>
        <v>36261</v>
      </c>
      <c r="J560" s="1030">
        <f t="shared" ref="J560:J561" si="247">J562+J564+J566</f>
        <v>36261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IFERROR(__xludf.DUMMYFUNCTION("IMPORTRANGE(""https://docs.google.com/spreadsheets/d/1QqKyyYR6Q21VydFLVH3TRQUabQu_ym0Zz7PgGX0-kHA/edit?usp=sharing"",""แผน!HG39"")"),3669)</f>
        <v>3669</v>
      </c>
      <c r="J561" s="1030">
        <f t="shared" si="247"/>
        <v>3669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26600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2755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8322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796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1339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118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IFERROR(__xludf.DUMMYFUNCTION("IMPORTRANGE(""https://docs.google.com/spreadsheets/d/1QqKyyYR6Q21VydFLVH3TRQUabQu_ym0Zz7PgGX0-kHA/edit?usp=sharing"",""แผน!HH39"")"),36261)</f>
        <v>36261</v>
      </c>
      <c r="J568" s="1031">
        <f t="shared" ref="J568:J569" si="248">J570+J572+J574</f>
        <v>36261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IFERROR(__xludf.DUMMYFUNCTION("IMPORTRANGE(""https://docs.google.com/spreadsheets/d/1QqKyyYR6Q21VydFLVH3TRQUabQu_ym0Zz7PgGX0-kHA/edit?usp=sharing"",""แผน!HG39"")"),3669)</f>
        <v>3669</v>
      </c>
      <c r="J569" s="1031">
        <f t="shared" si="248"/>
        <v>3669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30867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3190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3859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342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1535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137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IFERROR(__xludf.DUMMYFUNCTION("IMPORTRANGE(""https://docs.google.com/spreadsheets/d/1QqKyyYR6Q21VydFLVH3TRQUabQu_ym0Zz7PgGX0-kHA/edit?usp=sharing"",""แผน!HH39"")"),36261)</f>
        <v>36261</v>
      </c>
      <c r="J576" s="1031">
        <f t="shared" ref="J576:J577" si="250">J578+J580+J582+J588+J590</f>
        <v>36260.94</v>
      </c>
      <c r="K576" s="1174">
        <f t="shared" ref="K576:K577" ca="1" si="251">IF(I576&gt;0,J576*100/I576,0)</f>
        <v>99.999834532969302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IFERROR(__xludf.DUMMYFUNCTION("IMPORTRANGE(""https://docs.google.com/spreadsheets/d/1QqKyyYR6Q21VydFLVH3TRQUabQu_ym0Zz7PgGX0-kHA/edit?usp=sharing"",""แผน!HG39"")"),3669)</f>
        <v>3669</v>
      </c>
      <c r="J577" s="1031">
        <f t="shared" si="250"/>
        <v>3669</v>
      </c>
      <c r="K577" s="1174">
        <f t="shared" ca="1" si="251"/>
        <v>100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30867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3190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3859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342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1534.94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137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1515.15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135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19.79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2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598.48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IFERROR(__xludf.DUMMYFUNCTION("IMPORTRANGE(""https://docs.google.com/spreadsheets/d/1QqKyyYR6Q21VydFLVH3TRQUabQu_ym0Zz7PgGX0-kHA/edit?usp=sharing"",""แผน!HJ39"")"),598.48)</f>
        <v>598.48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IFERROR(__xludf.DUMMYFUNCTION("IMPORTRANGE(""https://docs.google.com/spreadsheets/d/1QqKyyYR6Q21VydFLVH3TRQUabQu_ym0Zz7PgGX0-kHA/edit?usp=sharing"",""แผน!HI39"")"),75)</f>
        <v>75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 hidden="1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 hidden="1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IFERROR(__xludf.DUMMYFUNCTION("IMPORTRANGE(""https://docs.google.com/spreadsheets/d/1QqKyyYR6Q21VydFLVH3TRQUabQu_ym0Zz7PgGX0-kHA/edit?usp=sharing"",""แผน!HL39"")"),0)</f>
        <v>0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 hidden="1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IFERROR(__xludf.DUMMYFUNCTION("IMPORTRANGE(""https://docs.google.com/spreadsheets/d/1QqKyyYR6Q21VydFLVH3TRQUabQu_ym0Zz7PgGX0-kHA/edit?usp=sharing"",""แผน!HK39"")"),0)</f>
        <v>0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 hidden="1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 hidden="1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 hidden="1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 hidden="1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 hidden="1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 hidden="1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13</v>
      </c>
      <c r="J628" s="1438">
        <f t="shared" ca="1" si="262"/>
        <v>7</v>
      </c>
      <c r="K628" s="1439">
        <f ca="1">IF(I628&gt;0,J628*100/I628,0)</f>
        <v>53.846153846153847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177295</v>
      </c>
      <c r="M629" s="1032">
        <f t="shared" ca="1" si="263"/>
        <v>177295</v>
      </c>
      <c r="N629" s="1032">
        <f t="shared" si="263"/>
        <v>43198</v>
      </c>
      <c r="O629" s="1032">
        <f t="shared" ref="O629:O634" ca="1" si="264">IF(L629&gt;0,N629*100/L629,0)</f>
        <v>24.365041315321921</v>
      </c>
      <c r="P629" s="1032">
        <f t="shared" ref="P629:P634" ca="1" si="265">IF(M629&gt;0,N629*100/M629,0)</f>
        <v>24.365041315321921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177295</v>
      </c>
      <c r="M631" s="899">
        <f t="shared" ca="1" si="266"/>
        <v>177295</v>
      </c>
      <c r="N631" s="899">
        <f t="shared" si="266"/>
        <v>43198</v>
      </c>
      <c r="O631" s="899">
        <f t="shared" ca="1" si="264"/>
        <v>24.365041315321921</v>
      </c>
      <c r="P631" s="899">
        <f t="shared" ca="1" si="265"/>
        <v>24.365041315321921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177295</v>
      </c>
      <c r="M632" s="893">
        <f t="shared" ca="1" si="267"/>
        <v>177295</v>
      </c>
      <c r="N632" s="893">
        <f t="shared" si="267"/>
        <v>43198</v>
      </c>
      <c r="O632" s="893">
        <f t="shared" ca="1" si="264"/>
        <v>24.365041315321921</v>
      </c>
      <c r="P632" s="893">
        <f t="shared" ca="1" si="265"/>
        <v>24.365041315321921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IFERROR(__xludf.DUMMYFUNCTION("IMPORTRANGE(""https://docs.google.com/spreadsheets/d/1QqKyyYR6Q21VydFLVH3TRQUabQu_ym0Zz7PgGX0-kHA/edit?usp=sharing"",""แผน!HN39"")"),177295)</f>
        <v>177295</v>
      </c>
      <c r="M634" s="899">
        <f ca="1">L634</f>
        <v>177295</v>
      </c>
      <c r="N634" s="899">
        <f>N635+N636+N637+N638</f>
        <v>43198</v>
      </c>
      <c r="O634" s="899">
        <f t="shared" ca="1" si="264"/>
        <v>24.365041315321921</v>
      </c>
      <c r="P634" s="899">
        <f t="shared" ca="1" si="265"/>
        <v>24.365041315321921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43198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IFERROR(__xludf.DUMMYFUNCTION("IMPORTRANGE(""https://docs.google.com/spreadsheets/d/1QqKyyYR6Q21VydFLVH3TRQUabQu_ym0Zz7PgGX0-kHA/edit?usp=sharing"",""แผน!HQ39"")"),0)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IFERROR(__xludf.DUMMYFUNCTION("IMPORTRANGE(""https://docs.google.com/spreadsheets/d/1QqKyyYR6Q21VydFLVH3TRQUabQu_ym0Zz7PgGX0-kHA/edit?usp=sharing"",""แผน!HR39"")"),0)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IFERROR(__xludf.DUMMYFUNCTION("IMPORTRANGE(""https://docs.google.com/spreadsheets/d/1QqKyyYR6Q21VydFLVH3TRQUabQu_ym0Zz7PgGX0-kHA/edit?usp=sharing"",""แผน!HR39"")"),0)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IFERROR(__xludf.DUMMYFUNCTION("IMPORTRANGE(""https://docs.google.com/spreadsheets/d/1XWAQStnk-4SwqDmLtmXYiTMKHgktTP8We1SCoS47DrQ/edit?usp=sharing"",""จัดที่ดิน!AS39"")"),7)</f>
        <v>7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IFERROR(__xludf.DUMMYFUNCTION("IMPORTRANGE(""https://docs.google.com/spreadsheets/d/1QqKyyYR6Q21VydFLVH3TRQUabQu_ym0Zz7PgGX0-kHA/edit?usp=sharing"",""แผน!HS39"")"),13)</f>
        <v>13</v>
      </c>
      <c r="J647" s="892">
        <f ca="1">IFERROR(__xludf.DUMMYFUNCTION("IMPORTRANGE(""https://docs.google.com/spreadsheets/d/1XWAQStnk-4SwqDmLtmXYiTMKHgktTP8We1SCoS47DrQ/edit?usp=sharing"",""จัดที่ดิน!AU39"")"),7)</f>
        <v>7</v>
      </c>
      <c r="K647" s="1010">
        <f t="shared" ca="1" si="271"/>
        <v>53.846153846153847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IFERROR(__xludf.DUMMYFUNCTION("IMPORTRANGE(""https://docs.google.com/spreadsheets/d/1QqKyyYR6Q21VydFLVH3TRQUabQu_ym0Zz7PgGX0-kHA/edit?usp=sharing"",""แผน!HS39"")"),13)</f>
        <v>13</v>
      </c>
      <c r="J649" s="892">
        <f ca="1">IFERROR(__xludf.DUMMYFUNCTION("IMPORTRANGE(""https://docs.google.com/spreadsheets/d/1XWAQStnk-4SwqDmLtmXYiTMKHgktTP8We1SCoS47DrQ/edit?usp=sharing"",""จัดที่ดิน!AW39"")"),7)</f>
        <v>7</v>
      </c>
      <c r="K649" s="1010">
        <f t="shared" ca="1" si="271"/>
        <v>53.846153846153847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IFERROR(__xludf.DUMMYFUNCTION("IMPORTRANGE(""https://docs.google.com/spreadsheets/d/1QqKyyYR6Q21VydFLVH3TRQUabQu_ym0Zz7PgGX0-kHA/edit?usp=sharing"",""แผน!HS39"")"),13)</f>
        <v>13</v>
      </c>
      <c r="J651" s="892">
        <f ca="1">IFERROR(__xludf.DUMMYFUNCTION("IMPORTRANGE(""https://docs.google.com/spreadsheets/d/1XWAQStnk-4SwqDmLtmXYiTMKHgktTP8We1SCoS47DrQ/edit?usp=sharing"",""จัดที่ดิน!AY39"")"),7)</f>
        <v>7</v>
      </c>
      <c r="K651" s="1010">
        <f t="shared" ca="1" si="271"/>
        <v>53.846153846153847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IFERROR(__xludf.DUMMYFUNCTION("IMPORTRANGE(""https://docs.google.com/spreadsheets/d/1XWAQStnk-4SwqDmLtmXYiTMKHgktTP8We1SCoS47DrQ/edit?usp=sharing"",""จัดที่ดิน!AZ39"")"),4.85)</f>
        <v>4.8499999999999996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 hidden="1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IFERROR(__xludf.DUMMYFUNCTION("IMPORTRANGE(""https://docs.google.com/spreadsheets/d/1QqKyyYR6Q21VydFLVH3TRQUabQu_ym0Zz7PgGX0-kHA/edit?usp=sharing"",""แผน!HV39"")"),0)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IFERROR(__xludf.DUMMYFUNCTION("IMPORTRANGE(""https://docs.google.com/spreadsheets/d/1QqKyyYR6Q21VydFLVH3TRQUabQu_ym0Zz7PgGX0-kHA/edit?usp=sharing"",""แผน!IA39"")"),0)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IFERROR(__xludf.DUMMYFUNCTION("IMPORTRANGE(""https://docs.google.com/spreadsheets/d/1QqKyyYR6Q21VydFLVH3TRQUabQu_ym0Zz7PgGX0-kHA/edit?usp=sharing"",""แผน!HZ39"")"),0)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IFERROR(__xludf.DUMMYFUNCTION("IMPORTRANGE(""https://docs.google.com/spreadsheets/d/1QqKyyYR6Q21VydFLVH3TRQUabQu_ym0Zz7PgGX0-kHA/edit?usp=sharing"",""แผน!HZ39"")"),0)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IFERROR(__xludf.DUMMYFUNCTION("IMPORTRANGE(""https://docs.google.com/spreadsheets/d/1QqKyyYR6Q21VydFLVH3TRQUabQu_ym0Zz7PgGX0-kHA/edit?usp=sharing"",""แผน!IB39"")"),0)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 hidden="1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 hidden="1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0</v>
      </c>
      <c r="M685" s="1032">
        <f t="shared" si="282"/>
        <v>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0</v>
      </c>
      <c r="M687" s="899">
        <f t="shared" si="285"/>
        <v>0</v>
      </c>
      <c r="N687" s="899">
        <f t="shared" si="285"/>
        <v>0</v>
      </c>
      <c r="O687" s="899">
        <f t="shared" ca="1" si="283"/>
        <v>0</v>
      </c>
      <c r="P687" s="899">
        <f t="shared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 hidden="1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0</v>
      </c>
      <c r="M688" s="893">
        <f t="shared" si="286"/>
        <v>0</v>
      </c>
      <c r="N688" s="893">
        <f t="shared" si="286"/>
        <v>0</v>
      </c>
      <c r="O688" s="893">
        <f t="shared" ca="1" si="283"/>
        <v>0</v>
      </c>
      <c r="P688" s="893">
        <f t="shared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IFERROR(__xludf.DUMMYFUNCTION("IMPORTRANGE(""https://docs.google.com/spreadsheets/d/1QqKyyYR6Q21VydFLVH3TRQUabQu_ym0Zz7PgGX0-kHA/edit?usp=sharing"",""แผน!HW39"")"),0)</f>
        <v>0</v>
      </c>
      <c r="M690" s="899">
        <v>0</v>
      </c>
      <c r="N690" s="899">
        <f>N691+N692+N693+N694</f>
        <v>0</v>
      </c>
      <c r="O690" s="899">
        <f ca="1">IF(L690&gt;0,N690*100/L690,0)</f>
        <v>0</v>
      </c>
      <c r="P690" s="899">
        <f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 hidden="1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 hidden="1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 hidden="1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 hidden="1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 hidden="1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 hidden="1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 hidden="1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IFERROR(__xludf.DUMMYFUNCTION("IMPORTRANGE(""https://docs.google.com/spreadsheets/d/1QqKyyYR6Q21VydFLVH3TRQUabQu_ym0Zz7PgGX0-kHA/edit?usp=sharing"",""แผน!IC39"")"),0)</f>
        <v>0</v>
      </c>
      <c r="J699" s="892">
        <f ca="1">IFERROR(__xludf.DUMMYFUNCTION("IMPORTRANGE(""https://docs.google.com/spreadsheets/d/1XWAQStnk-4SwqDmLtmXYiTMKHgktTP8We1SCoS47DrQ/edit?usp=sharing"",""จัดที่ดิน!BB39"")"),0)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 hidden="1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IFERROR(__xludf.DUMMYFUNCTION("IMPORTRANGE(""https://docs.google.com/spreadsheets/d/1QqKyyYR6Q21VydFLVH3TRQUabQu_ym0Zz7PgGX0-kHA/edit?usp=sharing"",""แผน!ID39"")"),0)</f>
        <v>0</v>
      </c>
      <c r="J700" s="892">
        <f ca="1">IFERROR(__xludf.DUMMYFUNCTION("IMPORTRANGE(""https://docs.google.com/spreadsheets/d/1XWAQStnk-4SwqDmLtmXYiTMKHgktTP8We1SCoS47DrQ/edit?usp=sharing"",""จัดที่ดิน!BD39"")"),0)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IFERROR(__xludf.DUMMYFUNCTION("IMPORTRANGE(""https://docs.google.com/spreadsheets/d/1QqKyyYR6Q21VydFLVH3TRQUabQu_ym0Zz7PgGX0-kHA/edit?usp=sharing"",""แผน!IE39"")"),0)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IFERROR(__xludf.DUMMYFUNCTION("IMPORTRANGE(""https://docs.google.com/spreadsheets/d/1QqKyyYR6Q21VydFLVH3TRQUabQu_ym0Zz7PgGX0-kHA/edit?usp=sharing"",""แผน!IF39"")"),0)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IFERROR(__xludf.DUMMYFUNCTION("IMPORTRANGE(""https://docs.google.com/spreadsheets/d/1QqKyyYR6Q21VydFLVH3TRQUabQu_ym0Zz7PgGX0-kHA/edit?usp=sharing"",""แผน!IG39"")"),0)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IFERROR(__xludf.DUMMYFUNCTION("IMPORTRANGE(""https://docs.google.com/spreadsheets/d/1QqKyyYR6Q21VydFLVH3TRQUabQu_ym0Zz7PgGX0-kHA/edit?usp=sharing"",""แผน!IH39"")"),0)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IFERROR(__xludf.DUMMYFUNCTION("IMPORTRANGE(""https://docs.google.com/spreadsheets/d/1XWAQStnk-4SwqDmLtmXYiTMKHgktTP8We1SCoS47DrQ/edit?usp=sharing"",""จัดที่ดิน!BF39"")"),0)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IFERROR(__xludf.DUMMYFUNCTION("IMPORTRANGE(""https://docs.google.com/spreadsheets/d/1XWAQStnk-4SwqDmLtmXYiTMKHgktTP8We1SCoS47DrQ/edit?usp=sharing"",""จัดที่ดิน!BG39"")"),0)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IFERROR(__xludf.DUMMYFUNCTION("IMPORTRANGE(""https://docs.google.com/spreadsheets/d/1QqKyyYR6Q21VydFLVH3TRQUabQu_ym0Zz7PgGX0-kHA/edit?usp=sharing"",""แผน!II39"")"),0)</f>
        <v>0</v>
      </c>
      <c r="J720" s="892">
        <f ca="1">IFERROR(__xludf.DUMMYFUNCTION("IMPORTRANGE(""https://docs.google.com/spreadsheets/d/1XWAQStnk-4SwqDmLtmXYiTMKHgktTP8We1SCoS47DrQ/edit?usp=sharing"",""จัดที่ดิน!BH39"")"),0)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IFERROR(__xludf.DUMMYFUNCTION("IMPORTRANGE(""https://docs.google.com/spreadsheets/d/1QqKyyYR6Q21VydFLVH3TRQUabQu_ym0Zz7PgGX0-kHA/edit?usp=sharing"",""แผน!IJ39"")"),0)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IFERROR(__xludf.DUMMYFUNCTION("IMPORTRANGE(""https://docs.google.com/spreadsheets/d/1QqKyyYR6Q21VydFLVH3TRQUabQu_ym0Zz7PgGX0-kHA/edit?usp=sharing"",""แผน!IK39"")"),0)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IFERROR(__xludf.DUMMYFUNCTION("IMPORTRANGE(""https://docs.google.com/spreadsheets/d/1QqKyyYR6Q21VydFLVH3TRQUabQu_ym0Zz7PgGX0-kHA/edit?usp=sharing"",""แผน!IL39"")"),0)</f>
        <v>0</v>
      </c>
      <c r="J723" s="892">
        <f ca="1">IFERROR(__xludf.DUMMYFUNCTION("IMPORTRANGE(""https://docs.google.com/spreadsheets/d/1XWAQStnk-4SwqDmLtmXYiTMKHgktTP8We1SCoS47DrQ/edit?usp=sharing"",""จัดที่ดิน!BM39"")"),0)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IFERROR(__xludf.DUMMYFUNCTION("IMPORTRANGE(""https://docs.google.com/spreadsheets/d/1XWAQStnk-4SwqDmLtmXYiTMKHgktTP8We1SCoS47DrQ/edit?usp=sharing"",""จัดที่ดิน!BN39"")"),0)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IFERROR(__xludf.DUMMYFUNCTION("IMPORTRANGE(""https://docs.google.com/spreadsheets/d/1QqKyyYR6Q21VydFLVH3TRQUabQu_ym0Zz7PgGX0-kHA/edit?usp=sharing"",""แผน!IM39"")"),0)</f>
        <v>0</v>
      </c>
      <c r="J725" s="892">
        <f ca="1">IFERROR(__xludf.DUMMYFUNCTION("IMPORTRANGE(""https://docs.google.com/spreadsheets/d/1XWAQStnk-4SwqDmLtmXYiTMKHgktTP8We1SCoS47DrQ/edit?usp=sharing"",""จัดที่ดิน!BO39"")"),0)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IFERROR(__xludf.DUMMYFUNCTION("IMPORTRANGE(""https://docs.google.com/spreadsheets/d/1QqKyyYR6Q21VydFLVH3TRQUabQu_ym0Zz7PgGX0-kHA/edit?usp=sharing"",""แผน!IN39"")"),0)</f>
        <v>0</v>
      </c>
      <c r="J726" s="892">
        <f ca="1">IFERROR(__xludf.DUMMYFUNCTION("IMPORTRANGE(""https://docs.google.com/spreadsheets/d/1XWAQStnk-4SwqDmLtmXYiTMKHgktTP8We1SCoS47DrQ/edit?usp=sharing"",""จัดที่ดิน!BR39"")"),0)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IFERROR(__xludf.DUMMYFUNCTION("IMPORTRANGE(""https://docs.google.com/spreadsheets/d/1XWAQStnk-4SwqDmLtmXYiTMKHgktTP8We1SCoS47DrQ/edit?usp=sharing"",""จัดที่ดิน!BS39"")"),0)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IFERROR(__xludf.DUMMYFUNCTION("IMPORTRANGE(""https://docs.google.com/spreadsheets/d/1QqKyyYR6Q21VydFLVH3TRQUabQu_ym0Zz7PgGX0-kHA/edit?usp=sharing"",""แผน!IO39"")"),0)</f>
        <v>0</v>
      </c>
      <c r="J728" s="892">
        <f ca="1">IFERROR(__xludf.DUMMYFUNCTION("IMPORTRANGE(""https://docs.google.com/spreadsheets/d/1XWAQStnk-4SwqDmLtmXYiTMKHgktTP8We1SCoS47DrQ/edit?usp=sharing"",""จัดที่ดิน!BT39"")"),0)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IFERROR(__xludf.DUMMYFUNCTION("IMPORTRANGE(""https://docs.google.com/spreadsheets/d/1QqKyyYR6Q21VydFLVH3TRQUabQu_ym0Zz7PgGX0-kHA/edit?usp=sharing"",""แผน!IP39"")"),0)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IFERROR(__xludf.DUMMYFUNCTION("IMPORTRANGE(""https://docs.google.com/spreadsheets/d/1QqKyyYR6Q21VydFLVH3TRQUabQu_ym0Zz7PgGX0-kHA/edit?usp=sharing"",""แผน!JJ39"")"),0)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IFERROR(__xludf.DUMMYFUNCTION("IMPORTRANGE(""https://docs.google.com/spreadsheets/d/1QqKyyYR6Q21VydFLVH3TRQUabQu_ym0Zz7PgGX0-kHA/edit?usp=sharing"",""แผน!JN39"")"),0)</f>
        <v>0</v>
      </c>
      <c r="J800" s="1009">
        <f ca="1">IFERROR(__xludf.DUMMYFUNCTION("IMPORTRANGE(""https://docs.google.com/spreadsheets/d/1MaWodYyGHDf7siQLGxnXhG4mBNTNIuy296niS2xXulU/edit?usp=sharing"",""RTK!H39"")"),0)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IFERROR(__xludf.DUMMYFUNCTION("IMPORTRANGE(""https://docs.google.com/spreadsheets/d/1MaWodYyGHDf7siQLGxnXhG4mBNTNIuy296niS2xXulU/edit?usp=sharing"",""RTK!I39"")"),0)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892">
        <f ca="1">IFERROR(__xludf.DUMMYFUNCTION("IMPORTRANGE(""https://docs.google.com/spreadsheets/d/19vJNZY_5yjcGF2XGBMNZRCAIB0Kwfpjp8YEOfu-bneM/edit?usp=sharing"",""งานกองทุน!F39"")"),5675355.27)</f>
        <v>5675355.2699999996</v>
      </c>
      <c r="K821" s="893">
        <f t="shared" ref="K821:K828" ca="1" si="335">IF(I821&gt;0,J821*100/I821,0)</f>
        <v>37.793678152605416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IFERROR(__xludf.DUMMYFUNCTION("IMPORTRANGE(""https://docs.google.com/spreadsheets/d/19vJNZY_5yjcGF2XGBMNZRCAIB0Kwfpjp8YEOfu-bneM/edit?usp=sharing"",""งานกองทุน!C39"")"),1508)</f>
        <v>1508</v>
      </c>
      <c r="J822" s="892">
        <f ca="1">IFERROR(__xludf.DUMMYFUNCTION("IMPORTRANGE(""https://docs.google.com/spreadsheets/d/19vJNZY_5yjcGF2XGBMNZRCAIB0Kwfpjp8YEOfu-bneM/edit?usp=sharing"",""งานกองทุน!E39"")"),506)</f>
        <v>506</v>
      </c>
      <c r="K822" s="893">
        <f t="shared" ca="1" si="335"/>
        <v>33.554376657824932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892">
        <f ca="1">IFERROR(__xludf.DUMMYFUNCTION("IMPORTRANGE(""https://docs.google.com/spreadsheets/d/19vJNZY_5yjcGF2XGBMNZRCAIB0Kwfpjp8YEOfu-bneM/edit?usp=sharing"",""งานกองทุน!K39"")"),1483447.45)</f>
        <v>1483447.45</v>
      </c>
      <c r="K823" s="893">
        <f t="shared" ca="1" si="335"/>
        <v>18.672059946063943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IFERROR(__xludf.DUMMYFUNCTION("IMPORTRANGE(""https://docs.google.com/spreadsheets/d/19vJNZY_5yjcGF2XGBMNZRCAIB0Kwfpjp8YEOfu-bneM/edit?usp=sharing"",""งานกองทุน!H39"")"),355)</f>
        <v>355</v>
      </c>
      <c r="J824" s="892">
        <f ca="1">IFERROR(__xludf.DUMMYFUNCTION("IMPORTRANGE(""https://docs.google.com/spreadsheets/d/19vJNZY_5yjcGF2XGBMNZRCAIB0Kwfpjp8YEOfu-bneM/edit?usp=sharing"",""งานกองทุน!J39"")"),138)</f>
        <v>138</v>
      </c>
      <c r="K824" s="893">
        <f t="shared" ca="1" si="335"/>
        <v>38.87323943661972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IFERROR(__xludf.DUMMYFUNCTION("IMPORTRANGE(""https://docs.google.com/spreadsheets/d/19vJNZY_5yjcGF2XGBMNZRCAIB0Kwfpjp8YEOfu-bneM/edit?usp=sharing"",""งานกองทุน!N39"")"),0)</f>
        <v>0</v>
      </c>
      <c r="J825" s="892">
        <f ca="1">IFERROR(__xludf.DUMMYFUNCTION("IMPORTRANGE(""https://docs.google.com/spreadsheets/d/19vJNZY_5yjcGF2XGBMNZRCAIB0Kwfpjp8YEOfu-bneM/edit?usp=sharing"",""งานกองทุน!P39"")"),0)</f>
        <v>0</v>
      </c>
      <c r="K825" s="893">
        <f t="shared" ca="1" si="335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IFERROR(__xludf.DUMMYFUNCTION("IMPORTRANGE(""https://docs.google.com/spreadsheets/d/19vJNZY_5yjcGF2XGBMNZRCAIB0Kwfpjp8YEOfu-bneM/edit?usp=sharing"",""งานกองทุน!M39"")"),0)</f>
        <v>0</v>
      </c>
      <c r="J826" s="892">
        <f ca="1">IFERROR(__xludf.DUMMYFUNCTION("IMPORTRANGE(""https://docs.google.com/spreadsheets/d/19vJNZY_5yjcGF2XGBMNZRCAIB0Kwfpjp8YEOfu-bneM/edit?usp=sharing"",""งานกองทุน!O39"")"),0)</f>
        <v>0</v>
      </c>
      <c r="K826" s="893">
        <f t="shared" ca="1" si="335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IFERROR(__xludf.DUMMYFUNCTION("IMPORTRANGE(""https://docs.google.com/spreadsheets/d/19vJNZY_5yjcGF2XGBMNZRCAIB0Kwfpjp8YEOfu-bneM/edit?usp=sharing"",""งานกองทุน!S39"")"),15000000)</f>
        <v>15000000</v>
      </c>
      <c r="J827" s="892">
        <f ca="1">IFERROR(__xludf.DUMMYFUNCTION("IMPORTRANGE(""https://docs.google.com/spreadsheets/d/19vJNZY_5yjcGF2XGBMNZRCAIB0Kwfpjp8YEOfu-bneM/edit?usp=sharing"",""งานกองทุน!U39"")"),2880000)</f>
        <v>2880000</v>
      </c>
      <c r="K827" s="893">
        <f t="shared" ca="1" si="335"/>
        <v>19.2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IFERROR(__xludf.DUMMYFUNCTION("IMPORTRANGE(""https://docs.google.com/spreadsheets/d/19vJNZY_5yjcGF2XGBMNZRCAIB0Kwfpjp8YEOfu-bneM/edit?usp=sharing"",""งานกองทุน!R39"")"),410)</f>
        <v>410</v>
      </c>
      <c r="J828" s="1149">
        <f ca="1">IFERROR(__xludf.DUMMYFUNCTION("IMPORTRANGE(""https://docs.google.com/spreadsheets/d/19vJNZY_5yjcGF2XGBMNZRCAIB0Kwfpjp8YEOfu-bneM/edit?usp=sharing"",""งานกองทุน!T39"")"),84)</f>
        <v>84</v>
      </c>
      <c r="K828" s="1251">
        <f t="shared" ca="1" si="335"/>
        <v>20.487804878048781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34E-7252-48BA-8C89-484B63C61098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346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6650271</v>
      </c>
      <c r="M8" s="879">
        <f t="shared" ca="1" si="0"/>
        <v>6049167</v>
      </c>
      <c r="N8" s="879">
        <f t="shared" ca="1" si="0"/>
        <v>4064451.59</v>
      </c>
      <c r="O8" s="879">
        <f t="shared" ref="O8:O16" ca="1" si="1">IF(L8&gt;0,N8*100/L8,0)</f>
        <v>61.117082145975708</v>
      </c>
      <c r="P8" s="879">
        <f t="shared" ref="P8:P16" ca="1" si="2">IF(M8&gt;0,N8*100/M8,0)</f>
        <v>67.190269172598477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6650271</v>
      </c>
      <c r="M10" s="886">
        <f t="shared" ca="1" si="3"/>
        <v>6049167</v>
      </c>
      <c r="N10" s="886">
        <f t="shared" ca="1" si="3"/>
        <v>4064451.59</v>
      </c>
      <c r="O10" s="886">
        <f t="shared" ca="1" si="1"/>
        <v>61.117082145975708</v>
      </c>
      <c r="P10" s="886">
        <f t="shared" ca="1" si="2"/>
        <v>67.190269172598477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5545671</v>
      </c>
      <c r="M11" s="893">
        <f t="shared" ca="1" si="4"/>
        <v>5054567</v>
      </c>
      <c r="N11" s="893">
        <f t="shared" ca="1" si="4"/>
        <v>3069851.59</v>
      </c>
      <c r="O11" s="893">
        <f t="shared" ca="1" si="1"/>
        <v>55.355818799925203</v>
      </c>
      <c r="P11" s="893">
        <f t="shared" ca="1" si="2"/>
        <v>60.734215017824475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5545671</v>
      </c>
      <c r="M13" s="899">
        <f t="shared" ca="1" si="5"/>
        <v>5054567</v>
      </c>
      <c r="N13" s="899">
        <f t="shared" ca="1" si="5"/>
        <v>3069851.59</v>
      </c>
      <c r="O13" s="899">
        <f t="shared" ca="1" si="1"/>
        <v>55.355818799925203</v>
      </c>
      <c r="P13" s="899">
        <f t="shared" ca="1" si="2"/>
        <v>60.734215017824475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1104600</v>
      </c>
      <c r="M14" s="893">
        <f t="shared" ca="1" si="6"/>
        <v>994600</v>
      </c>
      <c r="N14" s="893">
        <f t="shared" ca="1" si="6"/>
        <v>994600</v>
      </c>
      <c r="O14" s="893">
        <f t="shared" ca="1" si="1"/>
        <v>90.041644034039464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1104600</v>
      </c>
      <c r="M16" s="905">
        <f t="shared" ca="1" si="7"/>
        <v>994600</v>
      </c>
      <c r="N16" s="905">
        <f t="shared" ca="1" si="7"/>
        <v>994600</v>
      </c>
      <c r="O16" s="905">
        <f t="shared" ca="1" si="1"/>
        <v>90.041644034039464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4267682</v>
      </c>
      <c r="M18" s="879">
        <f t="shared" ca="1" si="8"/>
        <v>3666578</v>
      </c>
      <c r="N18" s="879">
        <f t="shared" ca="1" si="8"/>
        <v>3030367.59</v>
      </c>
      <c r="O18" s="879">
        <f t="shared" ref="O18:O26" ca="1" si="9">IF(L18&gt;0,N18*100/L18,0)</f>
        <v>71.007342862003313</v>
      </c>
      <c r="P18" s="879">
        <f t="shared" ref="P18:P26" ca="1" si="10">IF(M18&gt;0,N18*100/M18,0)</f>
        <v>82.648387406459108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4267682</v>
      </c>
      <c r="M20" s="886">
        <f t="shared" ca="1" si="11"/>
        <v>3666578</v>
      </c>
      <c r="N20" s="886">
        <f t="shared" ca="1" si="11"/>
        <v>3030367.59</v>
      </c>
      <c r="O20" s="886">
        <f t="shared" ca="1" si="9"/>
        <v>71.007342862003313</v>
      </c>
      <c r="P20" s="886">
        <f t="shared" ca="1" si="10"/>
        <v>82.648387406459108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3163082</v>
      </c>
      <c r="M21" s="893">
        <f t="shared" ca="1" si="12"/>
        <v>2671978</v>
      </c>
      <c r="N21" s="893">
        <f t="shared" ca="1" si="12"/>
        <v>2035767.5899999999</v>
      </c>
      <c r="O21" s="893">
        <f t="shared" ca="1" si="9"/>
        <v>64.360253385780069</v>
      </c>
      <c r="P21" s="893">
        <f t="shared" ca="1" si="10"/>
        <v>76.189534120415658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3163082</v>
      </c>
      <c r="M23" s="899">
        <f t="shared" ca="1" si="13"/>
        <v>2671978</v>
      </c>
      <c r="N23" s="899">
        <f t="shared" ca="1" si="13"/>
        <v>2035767.5899999999</v>
      </c>
      <c r="O23" s="899">
        <f t="shared" ca="1" si="9"/>
        <v>64.360253385780069</v>
      </c>
      <c r="P23" s="899">
        <f t="shared" ca="1" si="10"/>
        <v>76.189534120415658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1104600</v>
      </c>
      <c r="M24" s="893">
        <f t="shared" ca="1" si="14"/>
        <v>994600</v>
      </c>
      <c r="N24" s="893">
        <f t="shared" ca="1" si="14"/>
        <v>994600</v>
      </c>
      <c r="O24" s="893">
        <f t="shared" ca="1" si="9"/>
        <v>90.041644034039464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1104600</v>
      </c>
      <c r="M26" s="905">
        <f t="shared" ca="1" si="15"/>
        <v>994600</v>
      </c>
      <c r="N26" s="905">
        <f t="shared" ca="1" si="15"/>
        <v>994600</v>
      </c>
      <c r="O26" s="905">
        <f t="shared" ca="1" si="9"/>
        <v>90.041644034039464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2382589</v>
      </c>
      <c r="M28" s="879">
        <f t="shared" ca="1" si="16"/>
        <v>2382589</v>
      </c>
      <c r="N28" s="879">
        <f t="shared" si="16"/>
        <v>1034084</v>
      </c>
      <c r="O28" s="879">
        <f t="shared" ref="O28:O37" ca="1" si="17">IF(L28&gt;0,N28*100/L28,0)</f>
        <v>43.40169454320489</v>
      </c>
      <c r="P28" s="879">
        <f t="shared" ref="P28:P37" ca="1" si="18">IF(M28&gt;0,N28*100/M28,0)</f>
        <v>43.40169454320489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2382589</v>
      </c>
      <c r="M30" s="886">
        <f t="shared" ca="1" si="19"/>
        <v>2382589</v>
      </c>
      <c r="N30" s="886">
        <f t="shared" si="19"/>
        <v>1034084</v>
      </c>
      <c r="O30" s="886">
        <f t="shared" ca="1" si="17"/>
        <v>43.40169454320489</v>
      </c>
      <c r="P30" s="886">
        <f t="shared" ca="1" si="18"/>
        <v>43.40169454320489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2382589</v>
      </c>
      <c r="M31" s="893">
        <f t="shared" ca="1" si="20"/>
        <v>2382589</v>
      </c>
      <c r="N31" s="893">
        <f t="shared" si="20"/>
        <v>1034084</v>
      </c>
      <c r="O31" s="893">
        <f t="shared" ca="1" si="17"/>
        <v>43.40169454320489</v>
      </c>
      <c r="P31" s="893">
        <f t="shared" ca="1" si="18"/>
        <v>43.40169454320489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2382589</v>
      </c>
      <c r="M33" s="899">
        <f t="shared" ca="1" si="21"/>
        <v>2382589</v>
      </c>
      <c r="N33" s="899">
        <f t="shared" si="21"/>
        <v>1034084</v>
      </c>
      <c r="O33" s="899">
        <f t="shared" ca="1" si="17"/>
        <v>43.40169454320489</v>
      </c>
      <c r="P33" s="899">
        <f t="shared" ca="1" si="18"/>
        <v>43.40169454320489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4267682</v>
      </c>
      <c r="M37" s="912">
        <f t="shared" ca="1" si="24"/>
        <v>3666578</v>
      </c>
      <c r="N37" s="912">
        <f t="shared" ca="1" si="24"/>
        <v>3030367.59</v>
      </c>
      <c r="O37" s="912">
        <f t="shared" ca="1" si="17"/>
        <v>71.007342862003313</v>
      </c>
      <c r="P37" s="912">
        <f t="shared" ca="1" si="18"/>
        <v>82.648387406459108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439342</v>
      </c>
      <c r="M41" s="938">
        <f t="shared" ca="1" si="25"/>
        <v>444013</v>
      </c>
      <c r="N41" s="938">
        <f t="shared" ca="1" si="25"/>
        <v>282884</v>
      </c>
      <c r="O41" s="938">
        <f t="shared" ref="O41:O49" ca="1" si="26">IF(L41&gt;0,N41*100/L41,0)</f>
        <v>64.388107670106663</v>
      </c>
      <c r="P41" s="938">
        <f t="shared" ref="P41:P49" ca="1" si="27">IF(M41&gt;0,N41*100/M41,0)</f>
        <v>63.710747207852023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439342</v>
      </c>
      <c r="M43" s="944">
        <f t="shared" ca="1" si="28"/>
        <v>444013</v>
      </c>
      <c r="N43" s="944">
        <f t="shared" ca="1" si="28"/>
        <v>282884</v>
      </c>
      <c r="O43" s="944">
        <f t="shared" ca="1" si="26"/>
        <v>64.388107670106663</v>
      </c>
      <c r="P43" s="944">
        <f t="shared" ca="1" si="27"/>
        <v>63.710747207852023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439342</v>
      </c>
      <c r="M44" s="893">
        <f t="shared" ca="1" si="29"/>
        <v>444013</v>
      </c>
      <c r="N44" s="893">
        <f t="shared" ca="1" si="29"/>
        <v>282884</v>
      </c>
      <c r="O44" s="893">
        <f t="shared" ca="1" si="26"/>
        <v>64.388107670106663</v>
      </c>
      <c r="P44" s="893">
        <f t="shared" ca="1" si="27"/>
        <v>63.710747207852023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IFERROR(__xludf.DUMMYFUNCTION("IMPORTRANGE(""https://docs.google.com/spreadsheets/d/1MeEWN-I1oV_STSDYn1IFDPWt_1FKiwhDph83XaGc0o0/edit?usp=sharing"",""งบพรบ!M40"")"),439342)</f>
        <v>439342</v>
      </c>
      <c r="M46" s="899">
        <f ca="1">IFERROR(__xludf.DUMMYFUNCTION("IMPORTRANGE(""https://docs.google.com/spreadsheets/d/1MeEWN-I1oV_STSDYn1IFDPWt_1FKiwhDph83XaGc0o0/edit?usp=sharing"",""งบพรบ!R40"")"),444013)</f>
        <v>444013</v>
      </c>
      <c r="N46" s="899">
        <f ca="1">IFERROR(__xludf.DUMMYFUNCTION("IMPORTRANGE(""https://docs.google.com/spreadsheets/d/1MeEWN-I1oV_STSDYn1IFDPWt_1FKiwhDph83XaGc0o0/edit?usp=sharing"",""งบพรบ!T40"")"),282884)</f>
        <v>282884</v>
      </c>
      <c r="O46" s="899">
        <f t="shared" ca="1" si="26"/>
        <v>64.388107670106663</v>
      </c>
      <c r="P46" s="899">
        <f t="shared" ca="1" si="27"/>
        <v>63.710747207852023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IFERROR(__xludf.DUMMYFUNCTION("IMPORTRANGE(""https://docs.google.com/spreadsheets/d/1MeEWN-I1oV_STSDYn1IFDPWt_1FKiwhDph83XaGc0o0/edit?usp=sharing"",""งบพรบ!P40"")"),0)</f>
        <v>0</v>
      </c>
      <c r="M49" s="905">
        <f ca="1">IFERROR(__xludf.DUMMYFUNCTION("IMPORTRANGE(""https://docs.google.com/spreadsheets/d/1MeEWN-I1oV_STSDYn1IFDPWt_1FKiwhDph83XaGc0o0/edit?usp=sharing"",""งบพรบ!S40"")"),0)</f>
        <v>0</v>
      </c>
      <c r="N49" s="905">
        <f ca="1">IFERROR(__xludf.DUMMYFUNCTION("IMPORTRANGE(""https://docs.google.com/spreadsheets/d/1MeEWN-I1oV_STSDYn1IFDPWt_1FKiwhDph83XaGc0o0/edit?usp=sharing"",""งบพรบ!U40"")"),0)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696600</v>
      </c>
      <c r="M53" s="968">
        <f t="shared" ca="1" si="31"/>
        <v>522450</v>
      </c>
      <c r="N53" s="968">
        <f t="shared" ca="1" si="31"/>
        <v>457481.62</v>
      </c>
      <c r="O53" s="968">
        <f t="shared" ref="O53:O61" ca="1" si="32">IF(L53&gt;0,N53*100/L53,0)</f>
        <v>65.67350272753373</v>
      </c>
      <c r="P53" s="968">
        <f t="shared" ref="P53:P61" ca="1" si="33">IF(M53&gt;0,N53*100/M53,0)</f>
        <v>87.564670303378307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696600</v>
      </c>
      <c r="M55" s="974">
        <f t="shared" ca="1" si="34"/>
        <v>522450</v>
      </c>
      <c r="N55" s="974">
        <f t="shared" ca="1" si="34"/>
        <v>457481.62</v>
      </c>
      <c r="O55" s="974">
        <f t="shared" ca="1" si="32"/>
        <v>65.67350272753373</v>
      </c>
      <c r="P55" s="974">
        <f t="shared" ca="1" si="33"/>
        <v>87.564670303378307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696600</v>
      </c>
      <c r="M56" s="893">
        <f t="shared" ca="1" si="35"/>
        <v>522450</v>
      </c>
      <c r="N56" s="893">
        <f t="shared" ca="1" si="35"/>
        <v>457481.62</v>
      </c>
      <c r="O56" s="893">
        <f t="shared" ca="1" si="32"/>
        <v>65.67350272753373</v>
      </c>
      <c r="P56" s="893">
        <f t="shared" ca="1" si="33"/>
        <v>87.564670303378307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IFERROR(__xludf.DUMMYFUNCTION("IMPORTRANGE(""https://docs.google.com/spreadsheets/d/1MeEWN-I1oV_STSDYn1IFDPWt_1FKiwhDph83XaGc0o0/edit?usp=sharing"",""งบพรบ!W40"")"),696600)</f>
        <v>696600</v>
      </c>
      <c r="M58" s="899">
        <f ca="1">IFERROR(__xludf.DUMMYFUNCTION("IMPORTRANGE(""https://docs.google.com/spreadsheets/d/1MeEWN-I1oV_STSDYn1IFDPWt_1FKiwhDph83XaGc0o0/edit?usp=sharing"",""งบพรบ!AB40"")"),522450)</f>
        <v>522450</v>
      </c>
      <c r="N58" s="899">
        <f ca="1">IFERROR(__xludf.DUMMYFUNCTION("IMPORTRANGE(""https://docs.google.com/spreadsheets/d/1MeEWN-I1oV_STSDYn1IFDPWt_1FKiwhDph83XaGc0o0/edit?usp=sharing"",""งบพรบ!AD40"")"),457481.62)</f>
        <v>457481.62</v>
      </c>
      <c r="O58" s="899">
        <f t="shared" ca="1" si="32"/>
        <v>65.67350272753373</v>
      </c>
      <c r="P58" s="899">
        <f t="shared" ca="1" si="33"/>
        <v>87.564670303378307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IFERROR(__xludf.DUMMYFUNCTION("IMPORTRANGE(""https://docs.google.com/spreadsheets/d/1MeEWN-I1oV_STSDYn1IFDPWt_1FKiwhDph83XaGc0o0/edit?usp=sharing"",""งบพรบ!Z40"")"),0)</f>
        <v>0</v>
      </c>
      <c r="M61" s="905">
        <f ca="1">IFERROR(__xludf.DUMMYFUNCTION("IMPORTRANGE(""https://docs.google.com/spreadsheets/d/1MeEWN-I1oV_STSDYn1IFDPWt_1FKiwhDph83XaGc0o0/edit?usp=sharing"",""งบพรบ!AC40"")"),0)</f>
        <v>0</v>
      </c>
      <c r="N61" s="905">
        <f ca="1">IFERROR(__xludf.DUMMYFUNCTION("IMPORTRANGE(""https://docs.google.com/spreadsheets/d/1MeEWN-I1oV_STSDYn1IFDPWt_1FKiwhDph83XaGc0o0/edit?usp=sharing"",""งบพรบ!AE40"")"),0)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30</v>
      </c>
      <c r="J65" s="994">
        <f t="shared" si="37"/>
        <v>30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920900</v>
      </c>
      <c r="M66" s="1004">
        <f t="shared" ca="1" si="39"/>
        <v>700490</v>
      </c>
      <c r="N66" s="1004">
        <f t="shared" ca="1" si="39"/>
        <v>566772.97</v>
      </c>
      <c r="O66" s="1004">
        <f t="shared" ref="O66:O74" ca="1" si="40">IF(L66&gt;0,N66*100/L66,0)</f>
        <v>61.545550005429469</v>
      </c>
      <c r="P66" s="1004">
        <f t="shared" ref="P66:P74" ca="1" si="41">IF(M66&gt;0,N66*100/M66,0)</f>
        <v>80.910929492212588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920900</v>
      </c>
      <c r="M68" s="899">
        <f t="shared" ca="1" si="42"/>
        <v>700490</v>
      </c>
      <c r="N68" s="899">
        <f t="shared" ca="1" si="42"/>
        <v>566772.97</v>
      </c>
      <c r="O68" s="899">
        <f t="shared" ca="1" si="40"/>
        <v>61.545550005429469</v>
      </c>
      <c r="P68" s="899">
        <f t="shared" ca="1" si="41"/>
        <v>80.910929492212588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920900</v>
      </c>
      <c r="M69" s="893">
        <f t="shared" ca="1" si="43"/>
        <v>700490</v>
      </c>
      <c r="N69" s="893">
        <f t="shared" ca="1" si="43"/>
        <v>566772.97</v>
      </c>
      <c r="O69" s="893">
        <f t="shared" ca="1" si="40"/>
        <v>61.545550005429469</v>
      </c>
      <c r="P69" s="893">
        <f t="shared" ca="1" si="41"/>
        <v>80.910929492212588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IFERROR(__xludf.DUMMYFUNCTION("IMPORTRANGE(""https://docs.google.com/spreadsheets/d/1MeEWN-I1oV_STSDYn1IFDPWt_1FKiwhDph83XaGc0o0/edit?usp=sharing"",""งบพรบ!AG40"")"),920900)</f>
        <v>920900</v>
      </c>
      <c r="M71" s="899">
        <f ca="1">IFERROR(__xludf.DUMMYFUNCTION("IMPORTRANGE(""https://docs.google.com/spreadsheets/d/1MeEWN-I1oV_STSDYn1IFDPWt_1FKiwhDph83XaGc0o0/edit?usp=sharing"",""งบพรบ!AL40"")"),700490)</f>
        <v>700490</v>
      </c>
      <c r="N71" s="899">
        <f ca="1">IFERROR(__xludf.DUMMYFUNCTION("IMPORTRANGE(""https://docs.google.com/spreadsheets/d/1MeEWN-I1oV_STSDYn1IFDPWt_1FKiwhDph83XaGc0o0/edit?usp=sharing"",""งบพรบ!AN40"")"),566772.97)</f>
        <v>566772.97</v>
      </c>
      <c r="O71" s="899">
        <f t="shared" ca="1" si="40"/>
        <v>61.545550005429469</v>
      </c>
      <c r="P71" s="899">
        <f t="shared" ca="1" si="41"/>
        <v>80.910929492212588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IFERROR(__xludf.DUMMYFUNCTION("IMPORTRANGE(""https://docs.google.com/spreadsheets/d/1MeEWN-I1oV_STSDYn1IFDPWt_1FKiwhDph83XaGc0o0/edit?usp=sharing"",""งบพรบ!AJ40"")"),0)</f>
        <v>0</v>
      </c>
      <c r="M74" s="899">
        <f ca="1">IFERROR(__xludf.DUMMYFUNCTION("IMPORTRANGE(""https://docs.google.com/spreadsheets/d/1MeEWN-I1oV_STSDYn1IFDPWt_1FKiwhDph83XaGc0o0/edit?usp=sharing"",""งบพรบ!AM40"")"),0)</f>
        <v>0</v>
      </c>
      <c r="N74" s="899">
        <f ca="1">IFERROR(__xludf.DUMMYFUNCTION("IMPORTRANGE(""https://docs.google.com/spreadsheets/d/1MeEWN-I1oV_STSDYn1IFDPWt_1FKiwhDph83XaGc0o0/edit?usp=sharing"",""งบพรบ!AO40"")"),0)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30</v>
      </c>
      <c r="J77" s="892">
        <f t="shared" si="45"/>
        <v>30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IFERROR(__xludf.DUMMYFUNCTION("IMPORTRANGE(""https://docs.google.com/spreadsheets/d/1QqKyyYR6Q21VydFLVH3TRQUabQu_ym0Zz7PgGX0-kHA/edit?usp=sharing"",""แผน!H40"")"),0)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IFERROR(__xludf.DUMMYFUNCTION("IMPORTRANGE(""https://docs.google.com/spreadsheets/d/1QqKyyYR6Q21VydFLVH3TRQUabQu_ym0Zz7PgGX0-kHA/edit?usp=sharing"",""แผน!I40"")"),0)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IFERROR(__xludf.DUMMYFUNCTION("IMPORTRANGE(""https://docs.google.com/spreadsheets/d/1QqKyyYR6Q21VydFLVH3TRQUabQu_ym0Zz7PgGX0-kHA/edit?usp=sharing"",""แผน!F40"")"),0)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IFERROR(__xludf.DUMMYFUNCTION("IMPORTRANGE(""https://docs.google.com/spreadsheets/d/1QqKyyYR6Q21VydFLVH3TRQUabQu_ym0Zz7PgGX0-kHA/edit?usp=sharing"",""แผน!G40"")"),0)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IFERROR(__xludf.DUMMYFUNCTION("IMPORTRANGE(""https://docs.google.com/spreadsheets/d/1QqKyyYR6Q21VydFLVH3TRQUabQu_ym0Zz7PgGX0-kHA/edit?usp=sharing"",""แผน!D40"")"),1)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IFERROR(__xludf.DUMMYFUNCTION("IMPORTRANGE(""https://docs.google.com/spreadsheets/d/1QqKyyYR6Q21VydFLVH3TRQUabQu_ym0Zz7PgGX0-kHA/edit?usp=sharing"",""แผน!E40"")"),30)</f>
        <v>30</v>
      </c>
      <c r="J83" s="1024">
        <v>30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IFERROR(__xludf.DUMMYFUNCTION("IMPORTRANGE(""https://docs.google.com/spreadsheets/d/1QqKyyYR6Q21VydFLVH3TRQUabQu_ym0Zz7PgGX0-kHA/edit?usp=sharing"",""แผน!J40"")"),1)</f>
        <v>1</v>
      </c>
      <c r="J84" s="1024">
        <v>1</v>
      </c>
      <c r="K84" s="1010">
        <f t="shared" ca="1" si="46"/>
        <v>100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86340</v>
      </c>
      <c r="M88" s="1004">
        <f t="shared" ca="1" si="49"/>
        <v>79640</v>
      </c>
      <c r="N88" s="1004">
        <f t="shared" ca="1" si="49"/>
        <v>78840</v>
      </c>
      <c r="O88" s="1004">
        <f t="shared" ref="O88:O96" ca="1" si="50">IF(L88&gt;0,N88*100/L88,0)</f>
        <v>91.31341209173037</v>
      </c>
      <c r="P88" s="1004">
        <f t="shared" ref="P88:P96" ca="1" si="51">IF(M88&gt;0,N88*100/M88,0)</f>
        <v>98.995479658463083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86340</v>
      </c>
      <c r="M90" s="899">
        <f t="shared" ca="1" si="52"/>
        <v>79640</v>
      </c>
      <c r="N90" s="899">
        <f t="shared" ca="1" si="52"/>
        <v>78840</v>
      </c>
      <c r="O90" s="899">
        <f t="shared" ca="1" si="50"/>
        <v>91.31341209173037</v>
      </c>
      <c r="P90" s="899">
        <f t="shared" ca="1" si="51"/>
        <v>98.995479658463083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86340</v>
      </c>
      <c r="M91" s="893">
        <f t="shared" ca="1" si="53"/>
        <v>79640</v>
      </c>
      <c r="N91" s="893">
        <f t="shared" ca="1" si="53"/>
        <v>78840</v>
      </c>
      <c r="O91" s="893">
        <f t="shared" ca="1" si="50"/>
        <v>91.31341209173037</v>
      </c>
      <c r="P91" s="893">
        <f t="shared" ca="1" si="51"/>
        <v>98.995479658463083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IFERROR(__xludf.DUMMYFUNCTION("IMPORTRANGE(""https://docs.google.com/spreadsheets/d/1MeEWN-I1oV_STSDYn1IFDPWt_1FKiwhDph83XaGc0o0/edit?usp=sharing"",""งบพรบ!AQ40"")"),86340)</f>
        <v>86340</v>
      </c>
      <c r="M93" s="899">
        <f ca="1">IFERROR(__xludf.DUMMYFUNCTION("IMPORTRANGE(""https://docs.google.com/spreadsheets/d/1MeEWN-I1oV_STSDYn1IFDPWt_1FKiwhDph83XaGc0o0/edit?usp=sharing"",""งบพรบ!AV40"")"),79640)</f>
        <v>79640</v>
      </c>
      <c r="N93" s="899">
        <f ca="1">IFERROR(__xludf.DUMMYFUNCTION("IMPORTRANGE(""https://docs.google.com/spreadsheets/d/1MeEWN-I1oV_STSDYn1IFDPWt_1FKiwhDph83XaGc0o0/edit?usp=sharing"",""งบพรบ!AX40"")"),78840)</f>
        <v>78840</v>
      </c>
      <c r="O93" s="899">
        <f t="shared" ca="1" si="50"/>
        <v>91.31341209173037</v>
      </c>
      <c r="P93" s="899">
        <f t="shared" ca="1" si="51"/>
        <v>98.995479658463083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IFERROR(__xludf.DUMMYFUNCTION("IMPORTRANGE(""https://docs.google.com/spreadsheets/d/1MeEWN-I1oV_STSDYn1IFDPWt_1FKiwhDph83XaGc0o0/edit?usp=sharing"",""งบพรบ!AT40"")"),0)</f>
        <v>0</v>
      </c>
      <c r="M96" s="899">
        <f ca="1">IFERROR(__xludf.DUMMYFUNCTION("IMPORTRANGE(""https://docs.google.com/spreadsheets/d/1MeEWN-I1oV_STSDYn1IFDPWt_1FKiwhDph83XaGc0o0/edit?usp=sharing"",""งบพรบ!AW40"")"),0)</f>
        <v>0</v>
      </c>
      <c r="N96" s="899">
        <f ca="1">IFERROR(__xludf.DUMMYFUNCTION("IMPORTRANGE(""https://docs.google.com/spreadsheets/d/1MeEWN-I1oV_STSDYn1IFDPWt_1FKiwhDph83XaGc0o0/edit?usp=sharing"",""งบพรบ!AY40"")"),0)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IFERROR(__xludf.DUMMYFUNCTION("IMPORTRANGE(""https://docs.google.com/spreadsheets/d/1QqKyyYR6Q21VydFLVH3TRQUabQu_ym0Zz7PgGX0-kHA/edit?usp=sharing"",""แผน!K40"")"),30)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IFERROR(__xludf.DUMMYFUNCTION("IMPORTRANGE(""https://docs.google.com/spreadsheets/d/1QqKyyYR6Q21VydFLVH3TRQUabQu_ym0Zz7PgGX0-kHA/edit?usp=sharing"",""แผน!L40"")"),10)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IFERROR(__xludf.DUMMYFUNCTION("IMPORTRANGE(""https://docs.google.com/spreadsheets/d/1QqKyyYR6Q21VydFLVH3TRQUabQu_ym0Zz7PgGX0-kHA/edit?usp=sharing"",""แผน!M40"")"),2)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IFERROR(__xludf.DUMMYFUNCTION("IMPORTRANGE(""https://docs.google.com/spreadsheets/d/1QqKyyYR6Q21VydFLVH3TRQUabQu_ym0Zz7PgGX0-kHA/edit?usp=sharing"",""แผน!N40"")"),30)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IFERROR(__xludf.DUMMYFUNCTION("IMPORTRANGE(""https://docs.google.com/spreadsheets/d/1QqKyyYR6Q21VydFLVH3TRQUabQu_ym0Zz7PgGX0-kHA/edit?usp=sharing"",""แผน!O40"")"),10)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IFERROR(__xludf.DUMMYFUNCTION("IMPORTRANGE(""https://docs.google.com/spreadsheets/d/1QqKyyYR6Q21VydFLVH3TRQUabQu_ym0Zz7PgGX0-kHA/edit?usp=sharing"",""แผน!O40"")"),10)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IFERROR(__xludf.DUMMYFUNCTION("IMPORTRANGE(""https://docs.google.com/spreadsheets/d/1QqKyyYR6Q21VydFLVH3TRQUabQu_ym0Zz7PgGX0-kHA/edit?usp=sharing"",""แผน!P40"")"),1)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IFERROR(__xludf.DUMMYFUNCTION("IMPORTRANGE(""https://docs.google.com/spreadsheets/d/1QqKyyYR6Q21VydFLVH3TRQUabQu_ym0Zz7PgGX0-kHA/edit?usp=sharing"",""แผน!P40"")"),1)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IFERROR(__xludf.DUMMYFUNCTION("IMPORTRANGE(""https://docs.google.com/spreadsheets/d/1QqKyyYR6Q21VydFLVH3TRQUabQu_ym0Zz7PgGX0-kHA/edit?usp=sharing"",""แผน!Q40"")"),1)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IFERROR(__xludf.DUMMYFUNCTION("IMPORTRANGE(""https://docs.google.com/spreadsheets/d/1QqKyyYR6Q21VydFLVH3TRQUabQu_ym0Zz7PgGX0-kHA/edit?usp=sharing"",""แผน!Q40"")"),1)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IFERROR(__xludf.DUMMYFUNCTION("IMPORTRANGE(""https://docs.google.com/spreadsheets/d/1QqKyyYR6Q21VydFLVH3TRQUabQu_ym0Zz7PgGX0-kHA/edit?usp=sharing"",""แผน!R40"")"),10)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IFERROR(__xludf.DUMMYFUNCTION("IMPORTRANGE(""https://docs.google.com/spreadsheets/d/1QqKyyYR6Q21VydFLVH3TRQUabQu_ym0Zz7PgGX0-kHA/edit?usp=sharing"",""แผน!R40"")"),10)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IFERROR(__xludf.DUMMYFUNCTION("IMPORTRANGE(""https://docs.google.com/spreadsheets/d/1QqKyyYR6Q21VydFLVH3TRQUabQu_ym0Zz7PgGX0-kHA/edit?usp=sharing"",""แผน!R40"")"),10)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IFERROR(__xludf.DUMMYFUNCTION("IMPORTRANGE(""https://docs.google.com/spreadsheets/d/1QqKyyYR6Q21VydFLVH3TRQUabQu_ym0Zz7PgGX0-kHA/edit?usp=sharing"",""แผน!S40"")"),1)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IFERROR(__xludf.DUMMYFUNCTION("IMPORTRANGE(""https://docs.google.com/spreadsheets/d/1QqKyyYR6Q21VydFLVH3TRQUabQu_ym0Zz7PgGX0-kHA/edit?usp=sharing"",""แผน!T40"")"),1)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IFERROR(__xludf.DUMMYFUNCTION("IMPORTRANGE(""https://docs.google.com/spreadsheets/d/1MeEWN-I1oV_STSDYn1IFDPWt_1FKiwhDph83XaGc0o0/edit?usp=sharing"",""งบพรบ!BA40"")"),0)</f>
        <v>0</v>
      </c>
      <c r="M124" s="899">
        <f ca="1">IFERROR(__xludf.DUMMYFUNCTION("IMPORTRANGE(""https://docs.google.com/spreadsheets/d/1MeEWN-I1oV_STSDYn1IFDPWt_1FKiwhDph83XaGc0o0/edit?usp=sharing"",""งบพรบ!BF40"")"),0)</f>
        <v>0</v>
      </c>
      <c r="N124" s="899">
        <f ca="1">IFERROR(__xludf.DUMMYFUNCTION("IMPORTRANGE(""https://docs.google.com/spreadsheets/d/1MeEWN-I1oV_STSDYn1IFDPWt_1FKiwhDph83XaGc0o0/edit?usp=sharing"",""งบพรบ!BH40"")"),0)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IFERROR(__xludf.DUMMYFUNCTION("IMPORTRANGE(""https://docs.google.com/spreadsheets/d/1MeEWN-I1oV_STSDYn1IFDPWt_1FKiwhDph83XaGc0o0/edit?usp=sharing"",""งบพรบ!BD40"")"),0)</f>
        <v>0</v>
      </c>
      <c r="M127" s="899">
        <f ca="1">IFERROR(__xludf.DUMMYFUNCTION("IMPORTRANGE(""https://docs.google.com/spreadsheets/d/1MeEWN-I1oV_STSDYn1IFDPWt_1FKiwhDph83XaGc0o0/edit?usp=sharing"",""งบพรบ!BG40"")"),0)</f>
        <v>0</v>
      </c>
      <c r="N127" s="899">
        <f ca="1">IFERROR(__xludf.DUMMYFUNCTION("IMPORTRANGE(""https://docs.google.com/spreadsheets/d/1MeEWN-I1oV_STSDYn1IFDPWt_1FKiwhDph83XaGc0o0/edit?usp=sharing"",""งบพรบ!BI40"")"),0)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1</v>
      </c>
      <c r="J130" s="994">
        <f t="shared" si="66"/>
        <v>1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10</v>
      </c>
      <c r="J131" s="994">
        <f t="shared" ca="1" si="68"/>
        <v>10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151655</v>
      </c>
      <c r="M132" s="1004">
        <f t="shared" ca="1" si="69"/>
        <v>146900</v>
      </c>
      <c r="N132" s="1004">
        <f t="shared" ca="1" si="69"/>
        <v>146900</v>
      </c>
      <c r="O132" s="1004">
        <f t="shared" ref="O132:O140" ca="1" si="70">IF(L132&gt;0,N132*100/L132,0)</f>
        <v>96.864593979756691</v>
      </c>
      <c r="P132" s="1004">
        <f t="shared" ref="P132:P140" ca="1" si="71">IF(M132&gt;0,N132*100/M132,0)</f>
        <v>100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151655</v>
      </c>
      <c r="M134" s="899">
        <f t="shared" ca="1" si="72"/>
        <v>146900</v>
      </c>
      <c r="N134" s="899">
        <f t="shared" ca="1" si="72"/>
        <v>146900</v>
      </c>
      <c r="O134" s="899">
        <f t="shared" ca="1" si="70"/>
        <v>96.864593979756691</v>
      </c>
      <c r="P134" s="899">
        <f t="shared" ca="1" si="71"/>
        <v>100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48655</v>
      </c>
      <c r="M135" s="893">
        <f t="shared" ca="1" si="73"/>
        <v>43900</v>
      </c>
      <c r="N135" s="893">
        <f t="shared" ca="1" si="73"/>
        <v>43900</v>
      </c>
      <c r="O135" s="893">
        <f t="shared" ca="1" si="70"/>
        <v>90.227109238516078</v>
      </c>
      <c r="P135" s="893">
        <f t="shared" ca="1" si="71"/>
        <v>100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IFERROR(__xludf.DUMMYFUNCTION("IMPORTRANGE(""https://docs.google.com/spreadsheets/d/1MeEWN-I1oV_STSDYn1IFDPWt_1FKiwhDph83XaGc0o0/edit?usp=sharing"",""งบพรบ!BK40"")"),48655)</f>
        <v>48655</v>
      </c>
      <c r="M137" s="899">
        <f ca="1">IFERROR(__xludf.DUMMYFUNCTION("IMPORTRANGE(""https://docs.google.com/spreadsheets/d/1MeEWN-I1oV_STSDYn1IFDPWt_1FKiwhDph83XaGc0o0/edit?usp=sharing"",""งบพรบ!BP40"")"),43900)</f>
        <v>43900</v>
      </c>
      <c r="N137" s="899">
        <f ca="1">IFERROR(__xludf.DUMMYFUNCTION("IMPORTRANGE(""https://docs.google.com/spreadsheets/d/1MeEWN-I1oV_STSDYn1IFDPWt_1FKiwhDph83XaGc0o0/edit?usp=sharing"",""งบพรบ!BR40"")"),43900)</f>
        <v>43900</v>
      </c>
      <c r="O137" s="899">
        <f t="shared" ca="1" si="70"/>
        <v>90.227109238516078</v>
      </c>
      <c r="P137" s="899">
        <f t="shared" ca="1" si="71"/>
        <v>100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103000</v>
      </c>
      <c r="M138" s="893">
        <f t="shared" ca="1" si="74"/>
        <v>103000</v>
      </c>
      <c r="N138" s="893">
        <f t="shared" ca="1" si="74"/>
        <v>103000</v>
      </c>
      <c r="O138" s="893">
        <f t="shared" ca="1" si="70"/>
        <v>100</v>
      </c>
      <c r="P138" s="893">
        <f t="shared" ca="1" si="71"/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IFERROR(__xludf.DUMMYFUNCTION("IMPORTRANGE(""https://docs.google.com/spreadsheets/d/1MeEWN-I1oV_STSDYn1IFDPWt_1FKiwhDph83XaGc0o0/edit?usp=sharing"",""งบพรบ!BN40"")"),103000)</f>
        <v>103000</v>
      </c>
      <c r="M140" s="899">
        <f ca="1">IFERROR(__xludf.DUMMYFUNCTION("IMPORTRANGE(""https://docs.google.com/spreadsheets/d/1MeEWN-I1oV_STSDYn1IFDPWt_1FKiwhDph83XaGc0o0/edit?usp=sharing"",""งบพรบ!BQ40"")"),103000)</f>
        <v>103000</v>
      </c>
      <c r="N140" s="899">
        <f ca="1">IFERROR(__xludf.DUMMYFUNCTION("IMPORTRANGE(""https://docs.google.com/spreadsheets/d/1MeEWN-I1oV_STSDYn1IFDPWt_1FKiwhDph83XaGc0o0/edit?usp=sharing"",""งบพรบ!BS40"")"),103000)</f>
        <v>103000</v>
      </c>
      <c r="O140" s="899">
        <f t="shared" ca="1" si="70"/>
        <v>100</v>
      </c>
      <c r="P140" s="899">
        <f t="shared" ca="1" si="71"/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10</v>
      </c>
      <c r="J143" s="892">
        <f ca="1">IF(AND(J144&gt;=I144,J145&gt;=I145),J145,0)</f>
        <v>10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IFERROR(__xludf.DUMMYFUNCTION("IMPORTRANGE(""https://docs.google.com/spreadsheets/d/1QqKyyYR6Q21VydFLVH3TRQUabQu_ym0Zz7PgGX0-kHA/edit?usp=sharing"",""แผน!U40"")"),5)</f>
        <v>5</v>
      </c>
      <c r="J144" s="1024">
        <v>5</v>
      </c>
      <c r="K144" s="893">
        <f t="shared" ca="1" si="75"/>
        <v>100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IFERROR(__xludf.DUMMYFUNCTION("IMPORTRANGE(""https://docs.google.com/spreadsheets/d/1QqKyyYR6Q21VydFLVH3TRQUabQu_ym0Zz7PgGX0-kHA/edit?usp=sharing"",""แผน!V40"")"),10)</f>
        <v>10</v>
      </c>
      <c r="J145" s="1024">
        <v>10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IFERROR(__xludf.DUMMYFUNCTION("IMPORTRANGE(""https://docs.google.com/spreadsheets/d/1QqKyyYR6Q21VydFLVH3TRQUabQu_ym0Zz7PgGX0-kHA/edit?usp=sharing"",""แผน!W40"")"),1)</f>
        <v>1</v>
      </c>
      <c r="J146" s="1024">
        <v>1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IFERROR(__xludf.DUMMYFUNCTION("IMPORTRANGE(""https://docs.google.com/spreadsheets/d/1MeEWN-I1oV_STSDYn1IFDPWt_1FKiwhDph83XaGc0o0/edit?usp=sharing"",""งบพรบ!BU40"")"),0)</f>
        <v>0</v>
      </c>
      <c r="M154" s="899">
        <f ca="1">IFERROR(__xludf.DUMMYFUNCTION("IMPORTRANGE(""https://docs.google.com/spreadsheets/d/1MeEWN-I1oV_STSDYn1IFDPWt_1FKiwhDph83XaGc0o0/edit?usp=sharing"",""งบพรบ!BZ40"")"),0)</f>
        <v>0</v>
      </c>
      <c r="N154" s="899">
        <f ca="1">IFERROR(__xludf.DUMMYFUNCTION("IMPORTRANGE(""https://docs.google.com/spreadsheets/d/1MeEWN-I1oV_STSDYn1IFDPWt_1FKiwhDph83XaGc0o0/edit?usp=sharing"",""งบพรบ!CB40"")"),0)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IFERROR(__xludf.DUMMYFUNCTION("IMPORTRANGE(""https://docs.google.com/spreadsheets/d/1MeEWN-I1oV_STSDYn1IFDPWt_1FKiwhDph83XaGc0o0/edit?usp=sharing"",""งบพรบ!BX40"")"),0)</f>
        <v>0</v>
      </c>
      <c r="M157" s="899">
        <f ca="1">IFERROR(__xludf.DUMMYFUNCTION("IMPORTRANGE(""https://docs.google.com/spreadsheets/d/1MeEWN-I1oV_STSDYn1IFDPWt_1FKiwhDph83XaGc0o0/edit?usp=sharing"",""งบพรบ!CA40"")"),0)</f>
        <v>0</v>
      </c>
      <c r="N157" s="899">
        <f ca="1">IFERROR(__xludf.DUMMYFUNCTION("IMPORTRANGE(""https://docs.google.com/spreadsheets/d/1MeEWN-I1oV_STSDYn1IFDPWt_1FKiwhDph83XaGc0o0/edit?usp=sharing"",""งบพรบ!CC40"")"),0)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IFERROR(__xludf.DUMMYFUNCTION("IMPORTRANGE(""https://docs.google.com/spreadsheets/d/1QqKyyYR6Q21VydFLVH3TRQUabQu_ym0Zz7PgGX0-kHA/edit?usp=sharing"",""แผน!X40"")"),0)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IFERROR(__xludf.DUMMYFUNCTION("IMPORTRANGE(""https://docs.google.com/spreadsheets/d/1MeEWN-I1oV_STSDYn1IFDPWt_1FKiwhDph83XaGc0o0/edit?usp=sharing"",""งบพรบ!CE40"")"),22055)</f>
        <v>22055</v>
      </c>
      <c r="M170" s="899">
        <f ca="1">IFERROR(__xludf.DUMMYFUNCTION("IMPORTRANGE(""https://docs.google.com/spreadsheets/d/1MeEWN-I1oV_STSDYn1IFDPWt_1FKiwhDph83XaGc0o0/edit?usp=sharing"",""งบพรบ!CJ40"")"),22055)</f>
        <v>22055</v>
      </c>
      <c r="N170" s="899">
        <f ca="1">IFERROR(__xludf.DUMMYFUNCTION("IMPORTRANGE(""https://docs.google.com/spreadsheets/d/1MeEWN-I1oV_STSDYn1IFDPWt_1FKiwhDph83XaGc0o0/edit?usp=sharing"",""งบพรบ!CL40"")"),22055)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IFERROR(__xludf.DUMMYFUNCTION("IMPORTRANGE(""https://docs.google.com/spreadsheets/d/1MeEWN-I1oV_STSDYn1IFDPWt_1FKiwhDph83XaGc0o0/edit?usp=sharing"",""งบพรบ!CH40"")"),0)</f>
        <v>0</v>
      </c>
      <c r="M173" s="899">
        <f ca="1">IFERROR(__xludf.DUMMYFUNCTION("IMPORTRANGE(""https://docs.google.com/spreadsheets/d/1MeEWN-I1oV_STSDYn1IFDPWt_1FKiwhDph83XaGc0o0/edit?usp=sharing"",""งบพรบ!CK40"")"),0)</f>
        <v>0</v>
      </c>
      <c r="N173" s="899">
        <f ca="1">IFERROR(__xludf.DUMMYFUNCTION("IMPORTRANGE(""https://docs.google.com/spreadsheets/d/1MeEWN-I1oV_STSDYn1IFDPWt_1FKiwhDph83XaGc0o0/edit?usp=sharing"",""งบพรบ!CM40"")"),0)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IFERROR(__xludf.DUMMYFUNCTION("IMPORTRANGE(""https://docs.google.com/spreadsheets/d/1QqKyyYR6Q21VydFLVH3TRQUabQu_ym0Zz7PgGX0-kHA/edit?usp=sharing"",""แผน!Y40"")"),11)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10</v>
      </c>
      <c r="J180" s="1073">
        <f t="shared" si="91"/>
        <v>10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84000</v>
      </c>
      <c r="M181" s="1004">
        <f t="shared" ca="1" si="92"/>
        <v>72500</v>
      </c>
      <c r="N181" s="1004">
        <f t="shared" ca="1" si="92"/>
        <v>66448</v>
      </c>
      <c r="O181" s="1004">
        <f t="shared" ref="O181:O189" ca="1" si="93">IF(L181&gt;0,N181*100/L181,0)</f>
        <v>79.104761904761901</v>
      </c>
      <c r="P181" s="1004">
        <f t="shared" ref="P181:P189" ca="1" si="94">IF(M181&gt;0,N181*100/M181,0)</f>
        <v>91.652413793103449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84000</v>
      </c>
      <c r="M183" s="899">
        <f t="shared" ca="1" si="95"/>
        <v>72500</v>
      </c>
      <c r="N183" s="899">
        <f t="shared" ca="1" si="95"/>
        <v>66448</v>
      </c>
      <c r="O183" s="899">
        <f t="shared" ca="1" si="93"/>
        <v>79.104761904761901</v>
      </c>
      <c r="P183" s="899">
        <f t="shared" ca="1" si="94"/>
        <v>91.652413793103449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84000</v>
      </c>
      <c r="M184" s="893">
        <f t="shared" ca="1" si="96"/>
        <v>72500</v>
      </c>
      <c r="N184" s="893">
        <f t="shared" ca="1" si="96"/>
        <v>66448</v>
      </c>
      <c r="O184" s="893">
        <f t="shared" ca="1" si="93"/>
        <v>79.104761904761901</v>
      </c>
      <c r="P184" s="893">
        <f t="shared" ca="1" si="94"/>
        <v>91.652413793103449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IFERROR(__xludf.DUMMYFUNCTION("IMPORTRANGE(""https://docs.google.com/spreadsheets/d/1MeEWN-I1oV_STSDYn1IFDPWt_1FKiwhDph83XaGc0o0/edit?usp=sharing"",""งบพรบ!CO40"")"),84000)</f>
        <v>84000</v>
      </c>
      <c r="M186" s="899">
        <f ca="1">IFERROR(__xludf.DUMMYFUNCTION("IMPORTRANGE(""https://docs.google.com/spreadsheets/d/1MeEWN-I1oV_STSDYn1IFDPWt_1FKiwhDph83XaGc0o0/edit?usp=sharing"",""งบพรบ!CT40"")"),72500)</f>
        <v>72500</v>
      </c>
      <c r="N186" s="899">
        <f ca="1">IFERROR(__xludf.DUMMYFUNCTION("IMPORTRANGE(""https://docs.google.com/spreadsheets/d/1MeEWN-I1oV_STSDYn1IFDPWt_1FKiwhDph83XaGc0o0/edit?usp=sharing"",""งบพรบ!CV40"")"),66448)</f>
        <v>66448</v>
      </c>
      <c r="O186" s="899">
        <f t="shared" ca="1" si="93"/>
        <v>79.104761904761901</v>
      </c>
      <c r="P186" s="899">
        <f t="shared" ca="1" si="94"/>
        <v>91.652413793103449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IFERROR(__xludf.DUMMYFUNCTION("IMPORTRANGE(""https://docs.google.com/spreadsheets/d/1MeEWN-I1oV_STSDYn1IFDPWt_1FKiwhDph83XaGc0o0/edit?usp=sharing"",""งบพรบ!CR40"")"),0)</f>
        <v>0</v>
      </c>
      <c r="M189" s="899">
        <f ca="1">IFERROR(__xludf.DUMMYFUNCTION("IMPORTRANGE(""https://docs.google.com/spreadsheets/d/1MeEWN-I1oV_STSDYn1IFDPWt_1FKiwhDph83XaGc0o0/edit?usp=sharing"",""งบพรบ!CU40"")"),0)</f>
        <v>0</v>
      </c>
      <c r="N189" s="899">
        <f ca="1">IFERROR(__xludf.DUMMYFUNCTION("IMPORTRANGE(""https://docs.google.com/spreadsheets/d/1MeEWN-I1oV_STSDYn1IFDPWt_1FKiwhDph83XaGc0o0/edit?usp=sharing"",""งบพรบ!CW40"")"),0)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IFERROR(__xludf.DUMMYFUNCTION("IMPORTRANGE(""https://docs.google.com/spreadsheets/d/1QqKyyYR6Q21VydFLVH3TRQUabQu_ym0Zz7PgGX0-kHA/edit?usp=sharing"",""แผน!Z40"")"),6000)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IFERROR(__xludf.DUMMYFUNCTION("IMPORTRANGE(""https://docs.google.com/spreadsheets/d/1QqKyyYR6Q21VydFLVH3TRQUabQu_ym0Zz7PgGX0-kHA/edit?usp=sharing"",""แผน!AC40"")"),4)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48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48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39000</v>
      </c>
      <c r="O198" s="1004">
        <f ca="1">IF(L198&gt;0,N198*100/L198,0)</f>
        <v>100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IFERROR(__xludf.DUMMYFUNCTION("IMPORTRANGE(""https://docs.google.com/spreadsheets/d/1QqKyyYR6Q21VydFLVH3TRQUabQu_ym0Zz7PgGX0-kHA/edit?usp=sharing"",""แผน!AE40"")"),3000)</f>
        <v>3000</v>
      </c>
      <c r="M199" s="893"/>
      <c r="N199" s="1096">
        <v>3000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IFERROR(__xludf.DUMMYFUNCTION("IMPORTRANGE(""https://docs.google.com/spreadsheets/d/1QqKyyYR6Q21VydFLVH3TRQUabQu_ym0Zz7PgGX0-kHA/edit?usp=sharing"",""แผน!AF40"")"),24000)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IFERROR(__xludf.DUMMYFUNCTION("IMPORTRANGE(""https://docs.google.com/spreadsheets/d/1QqKyyYR6Q21VydFLVH3TRQUabQu_ym0Zz7PgGX0-kHA/edit?usp=sharing"",""แผน!AG40"")"),12000)</f>
        <v>12000</v>
      </c>
      <c r="M201" s="893"/>
      <c r="N201" s="1096">
        <v>12000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IFERROR(__xludf.DUMMYFUNCTION("IMPORTRANGE(""https://docs.google.com/spreadsheets/d/1QqKyyYR6Q21VydFLVH3TRQUabQu_ym0Zz7PgGX0-kHA/edit?usp=sharing"",""แผน!AH40"")"),0)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IFERROR(__xludf.DUMMYFUNCTION("IMPORTRANGE(""https://docs.google.com/spreadsheets/d/1QqKyyYR6Q21VydFLVH3TRQUabQu_ym0Zz7PgGX0-kHA/edit?usp=sharing"",""แผน!AI40"")"),3)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9930</v>
      </c>
      <c r="O209" s="1004">
        <f ca="1">IF(L209&gt;0,N209*100/L209,0)</f>
        <v>70.928571428571431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IFERROR(__xludf.DUMMYFUNCTION("IMPORTRANGE(""https://docs.google.com/spreadsheets/d/1QqKyyYR6Q21VydFLVH3TRQUabQu_ym0Zz7PgGX0-kHA/edit?usp=sharing"",""แผน!AK40"")"),1000)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IFERROR(__xludf.DUMMYFUNCTION("IMPORTRANGE(""https://docs.google.com/spreadsheets/d/1QqKyyYR6Q21VydFLVH3TRQUabQu_ym0Zz7PgGX0-kHA/edit?usp=sharing"",""แผน!AL40"")"),5000)</f>
        <v>5000</v>
      </c>
      <c r="M211" s="893"/>
      <c r="N211" s="1096">
        <v>5000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IFERROR(__xludf.DUMMYFUNCTION("IMPORTRANGE(""https://docs.google.com/spreadsheets/d/1QqKyyYR6Q21VydFLVH3TRQUabQu_ym0Zz7PgGX0-kHA/edit?usp=sharing"",""แผน!AM40"")"),8000)</f>
        <v>8000</v>
      </c>
      <c r="M212" s="893"/>
      <c r="N212" s="1096">
        <v>4930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IFERROR(__xludf.DUMMYFUNCTION("IMPORTRANGE(""https://docs.google.com/spreadsheets/d/1QqKyyYR6Q21VydFLVH3TRQUabQu_ym0Zz7PgGX0-kHA/edit?usp=sharing"",""แผน!AN40"")"),1)</f>
        <v>1</v>
      </c>
      <c r="J214" s="1024">
        <v>1</v>
      </c>
      <c r="K214" s="893">
        <f t="shared" ref="K214:K216" ca="1" si="102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IFERROR(__xludf.DUMMYFUNCTION("IMPORTRANGE(""https://docs.google.com/spreadsheets/d/1QqKyyYR6Q21VydFLVH3TRQUabQu_ym0Zz7PgGX0-kHA/edit?usp=sharing"",""แผน!AN40"")"),1)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40000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25000</v>
      </c>
      <c r="M217" s="1004"/>
      <c r="N217" s="1004">
        <f>N218+N219+N220</f>
        <v>17518</v>
      </c>
      <c r="O217" s="1004">
        <f ca="1">IF(L217&gt;0,N217*100/L217,0)</f>
        <v>70.072000000000003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IFERROR(__xludf.DUMMYFUNCTION("IMPORTRANGE(""https://docs.google.com/spreadsheets/d/1QqKyyYR6Q21VydFLVH3TRQUabQu_ym0Zz7PgGX0-kHA/edit?usp=sharing"",""แผน!AP40"")"),5000)</f>
        <v>5000</v>
      </c>
      <c r="M218" s="893"/>
      <c r="N218" s="1096">
        <v>5000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IFERROR(__xludf.DUMMYFUNCTION("IMPORTRANGE(""https://docs.google.com/spreadsheets/d/1QqKyyYR6Q21VydFLVH3TRQUabQu_ym0Zz7PgGX0-kHA/edit?usp=sharing"",""แผน!AQ40"")"),10000)</f>
        <v>10000</v>
      </c>
      <c r="M219" s="893"/>
      <c r="N219" s="1096">
        <v>7068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IFERROR(__xludf.DUMMYFUNCTION("IMPORTRANGE(""https://docs.google.com/spreadsheets/d/1QqKyyYR6Q21VydFLVH3TRQUabQu_ym0Zz7PgGX0-kHA/edit?usp=sharing"",""แผน!AR40"")"),10000)</f>
        <v>10000</v>
      </c>
      <c r="M220" s="893"/>
      <c r="N220" s="1096">
        <v>5450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IFERROR(__xludf.DUMMYFUNCTION("IMPORTRANGE(""https://docs.google.com/spreadsheets/d/1QqKyyYR6Q21VydFLVH3TRQUabQu_ym0Zz7PgGX0-kHA/edit?usp=sharing"",""แผน!AT40"")"),40000)</f>
        <v>40000</v>
      </c>
      <c r="J223" s="1024">
        <v>40000</v>
      </c>
      <c r="K223" s="1010">
        <f t="shared" ref="K223:K226" ca="1" si="104">IF(I223&gt;0,J223*100/I223,0)</f>
        <v>100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IFERROR(__xludf.DUMMYFUNCTION("IMPORTRANGE(""https://docs.google.com/spreadsheets/d/1QqKyyYR6Q21VydFLVH3TRQUabQu_ym0Zz7PgGX0-kHA/edit?usp=sharing"",""แผน!AT40"")"),40000)</f>
        <v>40000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IFERROR(__xludf.DUMMYFUNCTION("IMPORTRANGE(""https://docs.google.com/spreadsheets/d/1QqKyyYR6Q21VydFLVH3TRQUabQu_ym0Zz7PgGX0-kHA/edit?usp=sharing"",""แผน!AS40"")"),10)</f>
        <v>10</v>
      </c>
      <c r="J225" s="1024">
        <v>10</v>
      </c>
      <c r="K225" s="1010">
        <f t="shared" ca="1" si="104"/>
        <v>100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IFERROR(__xludf.DUMMYFUNCTION("IMPORTRANGE(""https://docs.google.com/spreadsheets/d/1QqKyyYR6Q21VydFLVH3TRQUabQu_ym0Zz7PgGX0-kHA/edit?usp=sharing"",""แผน!AV40"")"),0)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IFERROR(__xludf.DUMMYFUNCTION("IMPORTRANGE(""https://docs.google.com/spreadsheets/d/1QqKyyYR6Q21VydFLVH3TRQUabQu_ym0Zz7PgGX0-kHA/edit?usp=sharing"",""แผน!AW40"")"),0)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IFERROR(__xludf.DUMMYFUNCTION("IMPORTRANGE(""https://docs.google.com/spreadsheets/d/1QqKyyYR6Q21VydFLVH3TRQUabQu_ym0Zz7PgGX0-kHA/edit?usp=sharing"",""แผน!AX40"")"),0)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IFERROR(__xludf.DUMMYFUNCTION("IMPORTRANGE(""https://docs.google.com/spreadsheets/d/1QqKyyYR6Q21VydFLVH3TRQUabQu_ym0Zz7PgGX0-kHA/edit?usp=sharing"",""แผน!AY40"")"),0)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IFERROR(__xludf.DUMMYFUNCTION("IMPORTRANGE(""https://docs.google.com/spreadsheets/d/1QqKyyYR6Q21VydFLVH3TRQUabQu_ym0Zz7PgGX0-kHA/edit?usp=sharing"",""แผน!BE40"")"),0)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IFERROR(__xludf.DUMMYFUNCTION("IMPORTRANGE(""https://docs.google.com/spreadsheets/d/1QqKyyYR6Q21VydFLVH3TRQUabQu_ym0Zz7PgGX0-kHA/edit?usp=sharing"",""แผน!AZ40"")"),0)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IFERROR(__xludf.DUMMYFUNCTION("IMPORTRANGE(""https://docs.google.com/spreadsheets/d/1QqKyyYR6Q21VydFLVH3TRQUabQu_ym0Zz7PgGX0-kHA/edit?usp=sharing"",""แผน!BA40"")"),0)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IFERROR(__xludf.DUMMYFUNCTION("IMPORTRANGE(""https://docs.google.com/spreadsheets/d/1QqKyyYR6Q21VydFLVH3TRQUabQu_ym0Zz7PgGX0-kHA/edit?usp=sharing"",""แผน!BB40"")"),0)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IFERROR(__xludf.DUMMYFUNCTION("IMPORTRANGE(""https://docs.google.com/spreadsheets/d/1QqKyyYR6Q21VydFLVH3TRQUabQu_ym0Zz7PgGX0-kHA/edit?usp=sharing"",""แผน!BC40"")"),0)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IFERROR(__xludf.DUMMYFUNCTION("IMPORTRANGE(""https://docs.google.com/spreadsheets/d/1QqKyyYR6Q21VydFLVH3TRQUabQu_ym0Zz7PgGX0-kHA/edit?usp=sharing"",""แผน!BF40"")"),0)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23900</v>
      </c>
      <c r="O261" s="1004">
        <f t="shared" ref="O261:O269" ca="1" si="117">IF(L261&gt;0,N261*100/L261,0)</f>
        <v>88.847583643122675</v>
      </c>
      <c r="P261" s="1004">
        <f t="shared" ref="P261:P269" ca="1" si="118">IF(M261&gt;0,N261*100/M261,0)</f>
        <v>100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23900</v>
      </c>
      <c r="O263" s="899">
        <f t="shared" ca="1" si="117"/>
        <v>88.847583643122675</v>
      </c>
      <c r="P263" s="899">
        <f t="shared" ca="1" si="118"/>
        <v>100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23900</v>
      </c>
      <c r="O264" s="893">
        <f t="shared" ca="1" si="117"/>
        <v>88.847583643122675</v>
      </c>
      <c r="P264" s="893">
        <f t="shared" ca="1" si="118"/>
        <v>100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IFERROR(__xludf.DUMMYFUNCTION("IMPORTRANGE(""https://docs.google.com/spreadsheets/d/1MeEWN-I1oV_STSDYn1IFDPWt_1FKiwhDph83XaGc0o0/edit?usp=sharing"",""งบพรบ!CY40"")"),26900)</f>
        <v>26900</v>
      </c>
      <c r="M266" s="899">
        <f ca="1">IFERROR(__xludf.DUMMYFUNCTION("IMPORTRANGE(""https://docs.google.com/spreadsheets/d/1MeEWN-I1oV_STSDYn1IFDPWt_1FKiwhDph83XaGc0o0/edit?usp=sharing"",""งบพรบ!DD40"")"),23900)</f>
        <v>23900</v>
      </c>
      <c r="N266" s="899">
        <f ca="1">IFERROR(__xludf.DUMMYFUNCTION("IMPORTRANGE(""https://docs.google.com/spreadsheets/d/1MeEWN-I1oV_STSDYn1IFDPWt_1FKiwhDph83XaGc0o0/edit?usp=sharing"",""งบพรบ!DF40"")"),23900)</f>
        <v>23900</v>
      </c>
      <c r="O266" s="899">
        <f t="shared" ca="1" si="117"/>
        <v>88.847583643122675</v>
      </c>
      <c r="P266" s="899">
        <f t="shared" ca="1" si="118"/>
        <v>100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IFERROR(__xludf.DUMMYFUNCTION("IMPORTRANGE(""https://docs.google.com/spreadsheets/d/1MeEWN-I1oV_STSDYn1IFDPWt_1FKiwhDph83XaGc0o0/edit?usp=sharing"",""งบพรบ!DB40"")"),0)</f>
        <v>0</v>
      </c>
      <c r="M269" s="899">
        <f ca="1">IFERROR(__xludf.DUMMYFUNCTION("IMPORTRANGE(""https://docs.google.com/spreadsheets/d/1MeEWN-I1oV_STSDYn1IFDPWt_1FKiwhDph83XaGc0o0/edit?usp=sharing"",""งบพรบ!DE40"")"),0)</f>
        <v>0</v>
      </c>
      <c r="N269" s="899">
        <f ca="1">IFERROR(__xludf.DUMMYFUNCTION("IMPORTRANGE(""https://docs.google.com/spreadsheets/d/1MeEWN-I1oV_STSDYn1IFDPWt_1FKiwhDph83XaGc0o0/edit?usp=sharing"",""งบพรบ!DG40"")"),0)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IFERROR(__xludf.DUMMYFUNCTION("IMPORTRANGE(""https://docs.google.com/spreadsheets/d/1QqKyyYR6Q21VydFLVH3TRQUabQu_ym0Zz7PgGX0-kHA/edit?usp=sharing"",""แผน!EA40"")"),22)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5</v>
      </c>
      <c r="J275" s="1170">
        <f t="shared" ca="1" si="122"/>
        <v>5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50</v>
      </c>
      <c r="J276" s="1173">
        <f t="shared" si="124"/>
        <v>50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22630</v>
      </c>
      <c r="M277" s="1004">
        <f t="shared" ca="1" si="125"/>
        <v>22630</v>
      </c>
      <c r="N277" s="1004">
        <f t="shared" ca="1" si="125"/>
        <v>20630</v>
      </c>
      <c r="O277" s="1004">
        <f t="shared" ref="O277:O285" ca="1" si="126">IF(L277&gt;0,N277*100/L277,0)</f>
        <v>91.162174105170124</v>
      </c>
      <c r="P277" s="1004">
        <f t="shared" ref="P277:P285" ca="1" si="127">IF(M277&gt;0,N277*100/M277,0)</f>
        <v>91.162174105170124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22630</v>
      </c>
      <c r="M279" s="899">
        <f t="shared" ca="1" si="128"/>
        <v>22630</v>
      </c>
      <c r="N279" s="899">
        <f t="shared" ca="1" si="128"/>
        <v>20630</v>
      </c>
      <c r="O279" s="899">
        <f t="shared" ca="1" si="126"/>
        <v>91.162174105170124</v>
      </c>
      <c r="P279" s="899">
        <f t="shared" ca="1" si="127"/>
        <v>91.162174105170124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22630</v>
      </c>
      <c r="M280" s="893">
        <f t="shared" ca="1" si="129"/>
        <v>22630</v>
      </c>
      <c r="N280" s="893">
        <f t="shared" ca="1" si="129"/>
        <v>20630</v>
      </c>
      <c r="O280" s="893">
        <f t="shared" ca="1" si="126"/>
        <v>91.162174105170124</v>
      </c>
      <c r="P280" s="893">
        <f t="shared" ca="1" si="127"/>
        <v>91.162174105170124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IFERROR(__xludf.DUMMYFUNCTION("IMPORTRANGE(""https://docs.google.com/spreadsheets/d/1MeEWN-I1oV_STSDYn1IFDPWt_1FKiwhDph83XaGc0o0/edit?usp=sharing"",""งบพรบ!DI40"")"),22630)</f>
        <v>22630</v>
      </c>
      <c r="M282" s="899">
        <f ca="1">IFERROR(__xludf.DUMMYFUNCTION("IMPORTRANGE(""https://docs.google.com/spreadsheets/d/1MeEWN-I1oV_STSDYn1IFDPWt_1FKiwhDph83XaGc0o0/edit?usp=sharing"",""งบพรบ!DN40"")"),22630)</f>
        <v>22630</v>
      </c>
      <c r="N282" s="899">
        <f ca="1">IFERROR(__xludf.DUMMYFUNCTION("IMPORTRANGE(""https://docs.google.com/spreadsheets/d/1MeEWN-I1oV_STSDYn1IFDPWt_1FKiwhDph83XaGc0o0/edit?usp=sharing"",""งบพรบ!DP40"")"),20630)</f>
        <v>20630</v>
      </c>
      <c r="O282" s="899">
        <f t="shared" ca="1" si="126"/>
        <v>91.162174105170124</v>
      </c>
      <c r="P282" s="899">
        <f t="shared" ca="1" si="127"/>
        <v>91.162174105170124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IFERROR(__xludf.DUMMYFUNCTION("IMPORTRANGE(""https://docs.google.com/spreadsheets/d/1MeEWN-I1oV_STSDYn1IFDPWt_1FKiwhDph83XaGc0o0/edit?usp=sharing"",""งบพรบ!DL40"")"),0)</f>
        <v>0</v>
      </c>
      <c r="M285" s="899">
        <f ca="1">IFERROR(__xludf.DUMMYFUNCTION("IMPORTRANGE(""https://docs.google.com/spreadsheets/d/1MeEWN-I1oV_STSDYn1IFDPWt_1FKiwhDph83XaGc0o0/edit?usp=sharing"",""งบพรบ!DO40"")"),0)</f>
        <v>0</v>
      </c>
      <c r="N285" s="899">
        <f ca="1">IFERROR(__xludf.DUMMYFUNCTION("IMPORTRANGE(""https://docs.google.com/spreadsheets/d/1MeEWN-I1oV_STSDYn1IFDPWt_1FKiwhDph83XaGc0o0/edit?usp=sharing"",""งบพรบ!DQ40"")"),0)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IFERROR(__xludf.DUMMYFUNCTION("IMPORTRANGE(""https://docs.google.com/spreadsheets/d/1QqKyyYR6Q21VydFLVH3TRQUabQu_ym0Zz7PgGX0-kHA/edit?usp=sharing"",""แผน!EC40"")"),50)</f>
        <v>50</v>
      </c>
      <c r="J287" s="1024">
        <v>50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IFERROR(__xludf.DUMMYFUNCTION("IMPORTRANGE(""https://docs.google.com/spreadsheets/d/1QqKyyYR6Q21VydFLVH3TRQUabQu_ym0Zz7PgGX0-kHA/edit?usp=sharing"",""แผน!EB40"")"),5)</f>
        <v>5</v>
      </c>
      <c r="J288" s="1031">
        <f ca="1">IF(AND(J291&gt;=I288,J294&gt;=I288),J294,0)</f>
        <v>5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IFERROR(__xludf.DUMMYFUNCTION("IMPORTRANGE(""https://docs.google.com/spreadsheets/d/1QqKyyYR6Q21VydFLVH3TRQUabQu_ym0Zz7PgGX0-kHA/edit?usp=sharing"",""แผน!EB40"")"),5)</f>
        <v>5</v>
      </c>
      <c r="J290" s="1024">
        <v>5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IFERROR(__xludf.DUMMYFUNCTION("IMPORTRANGE(""https://docs.google.com/spreadsheets/d/1QqKyyYR6Q21VydFLVH3TRQUabQu_ym0Zz7PgGX0-kHA/edit?usp=sharing"",""แผน!EB40"")"),5)</f>
        <v>5</v>
      </c>
      <c r="J291" s="1024">
        <v>5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IFERROR(__xludf.DUMMYFUNCTION("IMPORTRANGE(""https://docs.google.com/spreadsheets/d/1QqKyyYR6Q21VydFLVH3TRQUabQu_ym0Zz7PgGX0-kHA/edit?usp=sharing"",""แผน!EB40"")"),5)</f>
        <v>5</v>
      </c>
      <c r="J293" s="1024">
        <v>5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IFERROR(__xludf.DUMMYFUNCTION("IMPORTRANGE(""https://docs.google.com/spreadsheets/d/1QqKyyYR6Q21VydFLVH3TRQUabQu_ym0Zz7PgGX0-kHA/edit?usp=sharing"",""แผน!EB40"")"),5)</f>
        <v>5</v>
      </c>
      <c r="J294" s="1183">
        <v>5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64400</v>
      </c>
      <c r="O298" s="1004">
        <f t="shared" ref="O298:O306" ca="1" si="136">IF(L298&gt;0,N298*100/L298,0)</f>
        <v>78.15533980582525</v>
      </c>
      <c r="P298" s="1004">
        <f t="shared" ref="P298:P306" ca="1" si="137">IF(M298&gt;0,N298*100/M298,0)</f>
        <v>100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64400</v>
      </c>
      <c r="O300" s="899">
        <f t="shared" ca="1" si="136"/>
        <v>78.15533980582525</v>
      </c>
      <c r="P300" s="899">
        <f t="shared" ca="1" si="137"/>
        <v>100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64400</v>
      </c>
      <c r="O301" s="893">
        <f t="shared" ca="1" si="136"/>
        <v>78.15533980582525</v>
      </c>
      <c r="P301" s="893">
        <f t="shared" ca="1" si="137"/>
        <v>100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IFERROR(__xludf.DUMMYFUNCTION("IMPORTRANGE(""https://docs.google.com/spreadsheets/d/1MeEWN-I1oV_STSDYn1IFDPWt_1FKiwhDph83XaGc0o0/edit?usp=sharing"",""งบพรบ!DS40"")"),82400)</f>
        <v>82400</v>
      </c>
      <c r="M303" s="899">
        <f ca="1">IFERROR(__xludf.DUMMYFUNCTION("IMPORTRANGE(""https://docs.google.com/spreadsheets/d/1MeEWN-I1oV_STSDYn1IFDPWt_1FKiwhDph83XaGc0o0/edit?usp=sharing"",""งบพรบ!DX40"")"),64400)</f>
        <v>64400</v>
      </c>
      <c r="N303" s="899">
        <f ca="1">IFERROR(__xludf.DUMMYFUNCTION("IMPORTRANGE(""https://docs.google.com/spreadsheets/d/1MeEWN-I1oV_STSDYn1IFDPWt_1FKiwhDph83XaGc0o0/edit?usp=sharing"",""งบพรบ!DZ40"")"),64400)</f>
        <v>64400</v>
      </c>
      <c r="O303" s="899">
        <f t="shared" ca="1" si="136"/>
        <v>78.15533980582525</v>
      </c>
      <c r="P303" s="899">
        <f t="shared" ca="1" si="137"/>
        <v>100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IFERROR(__xludf.DUMMYFUNCTION("IMPORTRANGE(""https://docs.google.com/spreadsheets/d/1MeEWN-I1oV_STSDYn1IFDPWt_1FKiwhDph83XaGc0o0/edit?usp=sharing"",""งบพรบ!DV40"")"),0)</f>
        <v>0</v>
      </c>
      <c r="M306" s="899">
        <f ca="1">IFERROR(__xludf.DUMMYFUNCTION("IMPORTRANGE(""https://docs.google.com/spreadsheets/d/1MeEWN-I1oV_STSDYn1IFDPWt_1FKiwhDph83XaGc0o0/edit?usp=sharing"",""งบพรบ!DY40"")"),0)</f>
        <v>0</v>
      </c>
      <c r="N306" s="899">
        <f ca="1">IFERROR(__xludf.DUMMYFUNCTION("IMPORTRANGE(""https://docs.google.com/spreadsheets/d/1MeEWN-I1oV_STSDYn1IFDPWt_1FKiwhDph83XaGc0o0/edit?usp=sharing"",""งบพรบ!EA40"")"),0)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IFERROR(__xludf.DUMMYFUNCTION("IMPORTRANGE(""https://docs.google.com/spreadsheets/d/1QqKyyYR6Q21VydFLVH3TRQUabQu_ym0Zz7PgGX0-kHA/edit?usp=sharing"",""แผน!ED40"")"),20)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IFERROR(__xludf.DUMMYFUNCTION("IMPORTRANGE(""https://docs.google.com/spreadsheets/d/1QqKyyYR6Q21VydFLVH3TRQUabQu_ym0Zz7PgGX0-kHA/edit?usp=sharing"",""แผน!ED40"")"),20)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IFERROR(__xludf.DUMMYFUNCTION("IMPORTRANGE(""https://docs.google.com/spreadsheets/d/1QqKyyYR6Q21VydFLVH3TRQUabQu_ym0Zz7PgGX0-kHA/edit?usp=sharing"",""แผน!ED40"")"),20)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IFERROR(__xludf.DUMMYFUNCTION("IMPORTRANGE(""https://docs.google.com/spreadsheets/d/1QqKyyYR6Q21VydFLVH3TRQUabQu_ym0Zz7PgGX0-kHA/edit?usp=sharing"",""แผน!EE40"")"),4)</f>
        <v>4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IFERROR(__xludf.DUMMYFUNCTION("IMPORTRANGE(""https://docs.google.com/spreadsheets/d/1MeEWN-I1oV_STSDYn1IFDPWt_1FKiwhDph83XaGc0o0/edit?usp=sharing"",""งบพรบ!EC40"")"),0)</f>
        <v>0</v>
      </c>
      <c r="M320" s="899">
        <f ca="1">IFERROR(__xludf.DUMMYFUNCTION("IMPORTRANGE(""https://docs.google.com/spreadsheets/d/1MeEWN-I1oV_STSDYn1IFDPWt_1FKiwhDph83XaGc0o0/edit?usp=sharing"",""งบพรบ!EH40"")"),0)</f>
        <v>0</v>
      </c>
      <c r="N320" s="899">
        <f ca="1">IFERROR(__xludf.DUMMYFUNCTION("IMPORTRANGE(""https://docs.google.com/spreadsheets/d/1MeEWN-I1oV_STSDYn1IFDPWt_1FKiwhDph83XaGc0o0/edit?usp=sharing"",""งบพรบ!EJ40"")"),0)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IFERROR(__xludf.DUMMYFUNCTION("IMPORTRANGE(""https://docs.google.com/spreadsheets/d/1MeEWN-I1oV_STSDYn1IFDPWt_1FKiwhDph83XaGc0o0/edit?usp=sharing"",""งบพรบ!EF40"")"),0)</f>
        <v>0</v>
      </c>
      <c r="M323" s="899">
        <f ca="1">IFERROR(__xludf.DUMMYFUNCTION("IMPORTRANGE(""https://docs.google.com/spreadsheets/d/1MeEWN-I1oV_STSDYn1IFDPWt_1FKiwhDph83XaGc0o0/edit?usp=sharing"",""งบพรบ!EI40"")"),0)</f>
        <v>0</v>
      </c>
      <c r="N323" s="899">
        <f ca="1">IFERROR(__xludf.DUMMYFUNCTION("IMPORTRANGE(""https://docs.google.com/spreadsheets/d/1MeEWN-I1oV_STSDYn1IFDPWt_1FKiwhDph83XaGc0o0/edit?usp=sharing"",""งบพรบ!EK40"")"),0)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IFERROR(__xludf.DUMMYFUNCTION("IMPORTRANGE(""https://docs.google.com/spreadsheets/d/1QqKyyYR6Q21VydFLVH3TRQUabQu_ym0Zz7PgGX0-kHA/edit?usp=sharing"",""แผน!EF40"")"),0)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IFERROR(__xludf.DUMMYFUNCTION("IMPORTRANGE(""https://docs.google.com/spreadsheets/d/1QqKyyYR6Q21VydFLVH3TRQUabQu_ym0Zz7PgGX0-kHA/edit?usp=sharing"",""แผน!EG40"")"),2300)</f>
        <v>2300</v>
      </c>
      <c r="J327" s="1202">
        <f ca="1">J338+J341+J342+J343</f>
        <v>2697</v>
      </c>
      <c r="K327" s="1203">
        <f ca="1">IF(I327&gt;0,J327*100/I327,0)</f>
        <v>117.26086956521739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1020000</v>
      </c>
      <c r="M328" s="1004">
        <f t="shared" ca="1" si="149"/>
        <v>965000</v>
      </c>
      <c r="N328" s="1004">
        <f t="shared" ca="1" si="149"/>
        <v>883112</v>
      </c>
      <c r="O328" s="1004">
        <f t="shared" ref="O328:O336" ca="1" si="150">IF(L328&gt;0,N328*100/L328,0)</f>
        <v>86.579607843137254</v>
      </c>
      <c r="P328" s="1004">
        <f t="shared" ref="P328:P336" ca="1" si="151">IF(M328&gt;0,N328*100/M328,0)</f>
        <v>91.514196891191716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1020000</v>
      </c>
      <c r="M330" s="899">
        <f t="shared" ca="1" si="152"/>
        <v>965000</v>
      </c>
      <c r="N330" s="899">
        <f t="shared" ca="1" si="152"/>
        <v>883112</v>
      </c>
      <c r="O330" s="899">
        <f t="shared" ca="1" si="150"/>
        <v>86.579607843137254</v>
      </c>
      <c r="P330" s="899">
        <f t="shared" ca="1" si="151"/>
        <v>91.514196891191716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170000</v>
      </c>
      <c r="M331" s="893">
        <f t="shared" ca="1" si="153"/>
        <v>225000</v>
      </c>
      <c r="N331" s="893">
        <f t="shared" ca="1" si="153"/>
        <v>143112</v>
      </c>
      <c r="O331" s="893">
        <f t="shared" ca="1" si="150"/>
        <v>84.183529411764709</v>
      </c>
      <c r="P331" s="893">
        <f t="shared" ca="1" si="151"/>
        <v>63.605333333333334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IFERROR(__xludf.DUMMYFUNCTION("IMPORTRANGE(""https://docs.google.com/spreadsheets/d/1MeEWN-I1oV_STSDYn1IFDPWt_1FKiwhDph83XaGc0o0/edit?usp=sharing"",""งบพรบ!EM40"")"),170000)</f>
        <v>170000</v>
      </c>
      <c r="M333" s="899">
        <f ca="1">IFERROR(__xludf.DUMMYFUNCTION("IMPORTRANGE(""https://docs.google.com/spreadsheets/d/1MeEWN-I1oV_STSDYn1IFDPWt_1FKiwhDph83XaGc0o0/edit?usp=sharing"",""งบพรบ!ER40"")"),225000)</f>
        <v>225000</v>
      </c>
      <c r="N333" s="899">
        <f ca="1">IFERROR(__xludf.DUMMYFUNCTION("IMPORTRANGE(""https://docs.google.com/spreadsheets/d/1MeEWN-I1oV_STSDYn1IFDPWt_1FKiwhDph83XaGc0o0/edit?usp=sharing"",""งบพรบ!ET40"")"),143112)</f>
        <v>143112</v>
      </c>
      <c r="O333" s="899">
        <f t="shared" ca="1" si="150"/>
        <v>84.183529411764709</v>
      </c>
      <c r="P333" s="899">
        <f t="shared" ca="1" si="151"/>
        <v>63.605333333333334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850000</v>
      </c>
      <c r="M334" s="893">
        <f t="shared" ca="1" si="154"/>
        <v>740000</v>
      </c>
      <c r="N334" s="893">
        <f t="shared" ca="1" si="154"/>
        <v>740000</v>
      </c>
      <c r="O334" s="893">
        <f t="shared" ca="1" si="150"/>
        <v>87.058823529411768</v>
      </c>
      <c r="P334" s="893">
        <f t="shared" ca="1" si="151"/>
        <v>100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IFERROR(__xludf.DUMMYFUNCTION("IMPORTRANGE(""https://docs.google.com/spreadsheets/d/1MeEWN-I1oV_STSDYn1IFDPWt_1FKiwhDph83XaGc0o0/edit?usp=sharing"",""งบพรบ!EP40"")"),850000)</f>
        <v>850000</v>
      </c>
      <c r="M336" s="899">
        <f ca="1">IFERROR(__xludf.DUMMYFUNCTION("IMPORTRANGE(""https://docs.google.com/spreadsheets/d/1MeEWN-I1oV_STSDYn1IFDPWt_1FKiwhDph83XaGc0o0/edit?usp=sharing"",""งบพรบ!ES40"")"),740000)</f>
        <v>740000</v>
      </c>
      <c r="N336" s="899">
        <f ca="1">IFERROR(__xludf.DUMMYFUNCTION("IMPORTRANGE(""https://docs.google.com/spreadsheets/d/1MeEWN-I1oV_STSDYn1IFDPWt_1FKiwhDph83XaGc0o0/edit?usp=sharing"",""งบพรบ!EU40"")"),740000)</f>
        <v>740000</v>
      </c>
      <c r="O336" s="899">
        <f t="shared" ca="1" si="150"/>
        <v>87.058823529411768</v>
      </c>
      <c r="P336" s="899">
        <f t="shared" ca="1" si="151"/>
        <v>100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IFERROR(__xludf.DUMMYFUNCTION("IMPORTRANGE(""https://docs.google.com/spreadsheets/d/1QqKyyYR6Q21VydFLVH3TRQUabQu_ym0Zz7PgGX0-kHA/edit?usp=sharing"",""แผน!EG40"")"),2300)</f>
        <v>2300</v>
      </c>
      <c r="J338" s="892">
        <f ca="1">IFERROR(__xludf.DUMMYFUNCTION("IMPORTRANGE(""https://docs.google.com/spreadsheets/d/1kVcqe37tkHyjCSG3S0O1AXqVkqjo8mSIZil3BcpIysc/edit?usp=sharing"",""ศูนย์!D40"")"),2156)</f>
        <v>2156</v>
      </c>
      <c r="K338" s="893">
        <f ca="1">IF(I338&gt;0,J338*100/I338,0)</f>
        <v>93.739130434782609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IFERROR(__xludf.DUMMYFUNCTION("IMPORTRANGE(""https://docs.google.com/spreadsheets/d/1QqKyyYR6Q21VydFLVH3TRQUabQu_ym0Zz7PgGX0-kHA/edit?usp=sharing"",""แผน!EH40"")"),6)</f>
        <v>6</v>
      </c>
      <c r="J340" s="892">
        <f ca="1">IFERROR(__xludf.DUMMYFUNCTION("IMPORTRANGE(""https://docs.google.com/spreadsheets/d/1kVcqe37tkHyjCSG3S0O1AXqVkqjo8mSIZil3BcpIysc/edit?usp=sharing"",""ศูนย์!E40"")"),6)</f>
        <v>6</v>
      </c>
      <c r="K340" s="893">
        <f ca="1">IF(I340&gt;0,J340*100/I340,0)</f>
        <v>100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IFERROR(__xludf.DUMMYFUNCTION("IMPORTRANGE(""https://docs.google.com/spreadsheets/d/1kVcqe37tkHyjCSG3S0O1AXqVkqjo8mSIZil3BcpIysc/edit?usp=sharing"",""ศูนย์!F40"")"),541)</f>
        <v>541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IFERROR(__xludf.DUMMYFUNCTION("IMPORTRANGE(""https://docs.google.com/spreadsheets/d/1kVcqe37tkHyjCSG3S0O1AXqVkqjo8mSIZil3BcpIysc/edit?usp=sharing"",""ศูนย์!G40"")"),0)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IFERROR(__xludf.DUMMYFUNCTION("IMPORTRANGE(""https://docs.google.com/spreadsheets/d/1kVcqe37tkHyjCSG3S0O1AXqVkqjo8mSIZil3BcpIysc/edit?usp=sharing"",""ศูนย์!H40"")"),0)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714860</v>
      </c>
      <c r="M345" s="1004">
        <f t="shared" ca="1" si="155"/>
        <v>602600</v>
      </c>
      <c r="N345" s="1004">
        <f t="shared" ca="1" si="155"/>
        <v>416944</v>
      </c>
      <c r="O345" s="1004">
        <f t="shared" ref="O345:O353" ca="1" si="156">IF(L345&gt;0,N345*100/L345,0)</f>
        <v>58.325266485745459</v>
      </c>
      <c r="P345" s="1004">
        <f t="shared" ref="P345:P353" ca="1" si="157">IF(M345&gt;0,N345*100/M345,0)</f>
        <v>69.190839694656489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714860</v>
      </c>
      <c r="M347" s="899">
        <f t="shared" ca="1" si="158"/>
        <v>602600</v>
      </c>
      <c r="N347" s="899">
        <f t="shared" ca="1" si="158"/>
        <v>416944</v>
      </c>
      <c r="O347" s="899">
        <f t="shared" ca="1" si="156"/>
        <v>58.325266485745459</v>
      </c>
      <c r="P347" s="899">
        <f t="shared" ca="1" si="157"/>
        <v>69.190839694656489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563260</v>
      </c>
      <c r="M348" s="893">
        <f t="shared" ca="1" si="159"/>
        <v>451000</v>
      </c>
      <c r="N348" s="893">
        <f t="shared" ca="1" si="159"/>
        <v>265344</v>
      </c>
      <c r="O348" s="893">
        <f t="shared" ca="1" si="156"/>
        <v>47.108617689876787</v>
      </c>
      <c r="P348" s="893">
        <f t="shared" ca="1" si="157"/>
        <v>58.83458980044346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IFERROR(__xludf.DUMMYFUNCTION("IMPORTRANGE(""https://docs.google.com/spreadsheets/d/1MeEWN-I1oV_STSDYn1IFDPWt_1FKiwhDph83XaGc0o0/edit?usp=sharing"",""งบพรบ!EW40"")"),563260)</f>
        <v>563260</v>
      </c>
      <c r="M350" s="899">
        <f ca="1">IFERROR(__xludf.DUMMYFUNCTION("IMPORTRANGE(""https://docs.google.com/spreadsheets/d/1MeEWN-I1oV_STSDYn1IFDPWt_1FKiwhDph83XaGc0o0/edit?usp=sharing"",""งบพรบ!FB40"")"),451000)</f>
        <v>451000</v>
      </c>
      <c r="N350" s="899">
        <f ca="1">IFERROR(__xludf.DUMMYFUNCTION("IMPORTRANGE(""https://docs.google.com/spreadsheets/d/1MeEWN-I1oV_STSDYn1IFDPWt_1FKiwhDph83XaGc0o0/edit?usp=sharing"",""งบพรบ!FD40"")"),265344)</f>
        <v>265344</v>
      </c>
      <c r="O350" s="899">
        <f t="shared" ca="1" si="156"/>
        <v>47.108617689876787</v>
      </c>
      <c r="P350" s="899">
        <f t="shared" ca="1" si="157"/>
        <v>58.83458980044346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151600</v>
      </c>
      <c r="M351" s="893">
        <f t="shared" ca="1" si="160"/>
        <v>151600</v>
      </c>
      <c r="N351" s="893">
        <f t="shared" ca="1" si="160"/>
        <v>151600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IFERROR(__xludf.DUMMYFUNCTION("IMPORTRANGE(""https://docs.google.com/spreadsheets/d/1MeEWN-I1oV_STSDYn1IFDPWt_1FKiwhDph83XaGc0o0/edit?usp=sharing"",""งบพรบ!EZ40"")"),151600)</f>
        <v>151600</v>
      </c>
      <c r="M353" s="899">
        <f ca="1">IFERROR(__xludf.DUMMYFUNCTION("IMPORTRANGE(""https://docs.google.com/spreadsheets/d/1MeEWN-I1oV_STSDYn1IFDPWt_1FKiwhDph83XaGc0o0/edit?usp=sharing"",""งบพรบ!FC40"")"),151600)</f>
        <v>151600</v>
      </c>
      <c r="N353" s="899">
        <f ca="1">IFERROR(__xludf.DUMMYFUNCTION("IMPORTRANGE(""https://docs.google.com/spreadsheets/d/1MeEWN-I1oV_STSDYn1IFDPWt_1FKiwhDph83XaGc0o0/edit?usp=sharing"",""งบพรบ!FE40"")"),151600)</f>
        <v>151600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IFERROR(__xludf.DUMMYFUNCTION("IMPORTRANGE(""https://docs.google.com/spreadsheets/d/1QqKyyYR6Q21VydFLVH3TRQUabQu_ym0Zz7PgGX0-kHA/edit?usp=sharing"",""แผน!EP40"")"),224)</f>
        <v>224</v>
      </c>
      <c r="J355" s="1218">
        <f ca="1">J362</f>
        <v>98</v>
      </c>
      <c r="K355" s="1219">
        <f ca="1">IF(I355&gt;0,J355*100/I355,0)</f>
        <v>43.75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IFERROR(__xludf.DUMMYFUNCTION("IMPORTRANGE(""https://docs.google.com/spreadsheets/d/1XWAQStnk-4SwqDmLtmXYiTMKHgktTP8We1SCoS47DrQ/edit?usp=sharing"",""จัดที่ดิน!W40"")"),240)</f>
        <v>240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IFERROR(__xludf.DUMMYFUNCTION("IMPORTRANGE(""https://docs.google.com/spreadsheets/d/1QqKyyYR6Q21VydFLVH3TRQUabQu_ym0Zz7PgGX0-kHA/edit?usp=sharing"",""แผน!EO40"")"),2240)</f>
        <v>2240</v>
      </c>
      <c r="J359" s="892">
        <f ca="1">IFERROR(__xludf.DUMMYFUNCTION("IMPORTRANGE(""https://docs.google.com/spreadsheets/d/1XWAQStnk-4SwqDmLtmXYiTMKHgktTP8We1SCoS47DrQ/edit?usp=sharing"",""จัดที่ดิน!X40"")"),1373.89)</f>
        <v>1373.89</v>
      </c>
      <c r="K359" s="893">
        <f t="shared" ca="1" si="161"/>
        <v>61.334375000000001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IFERROR(__xludf.DUMMYFUNCTION("IMPORTRANGE(""https://docs.google.com/spreadsheets/d/1QqKyyYR6Q21VydFLVH3TRQUabQu_ym0Zz7PgGX0-kHA/edit?usp=sharing"",""แผน!EP40"")"),224)</f>
        <v>224</v>
      </c>
      <c r="J360" s="892">
        <f ca="1">IFERROR(__xludf.DUMMYFUNCTION("IMPORTRANGE(""https://docs.google.com/spreadsheets/d/1XWAQStnk-4SwqDmLtmXYiTMKHgktTP8We1SCoS47DrQ/edit?usp=sharing"",""จัดที่ดิน!Y40"")"),189)</f>
        <v>189</v>
      </c>
      <c r="K360" s="893">
        <f t="shared" ca="1" si="161"/>
        <v>84.375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IFERROR(__xludf.DUMMYFUNCTION("IMPORTRANGE(""https://docs.google.com/spreadsheets/d/1XWAQStnk-4SwqDmLtmXYiTMKHgktTP8We1SCoS47DrQ/edit?usp=sharing"",""จัดที่ดิน!Z40"")"),1066.3)</f>
        <v>1066.3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IFERROR(__xludf.DUMMYFUNCTION("IMPORTRANGE(""https://docs.google.com/spreadsheets/d/1QqKyyYR6Q21VydFLVH3TRQUabQu_ym0Zz7PgGX0-kHA/edit?usp=sharing"",""แผน!EP40"")"),224)</f>
        <v>224</v>
      </c>
      <c r="J362" s="892">
        <f ca="1">IFERROR(__xludf.DUMMYFUNCTION("IMPORTRANGE(""https://docs.google.com/spreadsheets/d/1XWAQStnk-4SwqDmLtmXYiTMKHgktTP8We1SCoS47DrQ/edit?usp=sharing"",""จัดที่ดิน!AA40"")"),98)</f>
        <v>98</v>
      </c>
      <c r="K362" s="893">
        <f t="shared" ca="1" si="161"/>
        <v>43.75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IFERROR(__xludf.DUMMYFUNCTION("IMPORTRANGE(""https://docs.google.com/spreadsheets/d/1XWAQStnk-4SwqDmLtmXYiTMKHgktTP8We1SCoS47DrQ/edit?usp=sharing"",""จัดที่ดิน!AB40"")"),514.58)</f>
        <v>514.58000000000004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374</v>
      </c>
      <c r="J364" s="1231">
        <f t="shared" ca="1" si="162"/>
        <v>255</v>
      </c>
      <c r="K364" s="1232">
        <f t="shared" ca="1" si="161"/>
        <v>68.181818181818187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IFERROR(__xludf.DUMMYFUNCTION("IMPORTRANGE(""https://docs.google.com/spreadsheets/d/1QqKyyYR6Q21VydFLVH3TRQUabQu_ym0Zz7PgGX0-kHA/edit?usp=sharing"",""แผน!EJ40"")"),24)</f>
        <v>24</v>
      </c>
      <c r="J365" s="1239">
        <f ca="1">J372</f>
        <v>16</v>
      </c>
      <c r="K365" s="1240">
        <f t="shared" ca="1" si="161"/>
        <v>66.666666666666671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IFERROR(__xludf.DUMMYFUNCTION("IMPORTRANGE(""https://docs.google.com/spreadsheets/d/1XWAQStnk-4SwqDmLtmXYiTMKHgktTP8We1SCoS47DrQ/edit?usp=sharing"",""จัดที่ดิน!E40"")"),46)</f>
        <v>46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IFERROR(__xludf.DUMMYFUNCTION("IMPORTRANGE(""https://docs.google.com/spreadsheets/d/1QqKyyYR6Q21VydFLVH3TRQUabQu_ym0Zz7PgGX0-kHA/edit?usp=sharing"",""แผน!EI40"")"),240)</f>
        <v>240</v>
      </c>
      <c r="J369" s="892">
        <f ca="1">IFERROR(__xludf.DUMMYFUNCTION("IMPORTRANGE(""https://docs.google.com/spreadsheets/d/1XWAQStnk-4SwqDmLtmXYiTMKHgktTP8We1SCoS47DrQ/edit?usp=sharing"",""จัดที่ดิน!F40"")"),150.01)</f>
        <v>150.01</v>
      </c>
      <c r="K369" s="893">
        <f t="shared" ca="1" si="163"/>
        <v>62.50416666666667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IFERROR(__xludf.DUMMYFUNCTION("IMPORTRANGE(""https://docs.google.com/spreadsheets/d/1QqKyyYR6Q21VydFLVH3TRQUabQu_ym0Zz7PgGX0-kHA/edit?usp=sharing"",""แผน!EJ40"")"),24)</f>
        <v>24</v>
      </c>
      <c r="J370" s="892">
        <f ca="1">IFERROR(__xludf.DUMMYFUNCTION("IMPORTRANGE(""https://docs.google.com/spreadsheets/d/1XWAQStnk-4SwqDmLtmXYiTMKHgktTP8We1SCoS47DrQ/edit?usp=sharing"",""จัดที่ดิน!G40"")"),22)</f>
        <v>22</v>
      </c>
      <c r="K370" s="893">
        <f t="shared" ca="1" si="163"/>
        <v>91.666666666666671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IFERROR(__xludf.DUMMYFUNCTION("IMPORTRANGE(""https://docs.google.com/spreadsheets/d/1XWAQStnk-4SwqDmLtmXYiTMKHgktTP8We1SCoS47DrQ/edit?usp=sharing"",""จัดที่ดิน!H40"")"),68.35)</f>
        <v>68.349999999999994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IFERROR(__xludf.DUMMYFUNCTION("IMPORTRANGE(""https://docs.google.com/spreadsheets/d/1QqKyyYR6Q21VydFLVH3TRQUabQu_ym0Zz7PgGX0-kHA/edit?usp=sharing"",""แผน!EJ40"")"),24)</f>
        <v>24</v>
      </c>
      <c r="J372" s="892">
        <f ca="1">IFERROR(__xludf.DUMMYFUNCTION("IMPORTRANGE(""https://docs.google.com/spreadsheets/d/1XWAQStnk-4SwqDmLtmXYiTMKHgktTP8We1SCoS47DrQ/edit?usp=sharing"",""จัดที่ดิน!I40"")"),16)</f>
        <v>16</v>
      </c>
      <c r="K372" s="893">
        <f t="shared" ca="1" si="163"/>
        <v>66.666666666666671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IFERROR(__xludf.DUMMYFUNCTION("IMPORTRANGE(""https://docs.google.com/spreadsheets/d/1XWAQStnk-4SwqDmLtmXYiTMKHgktTP8We1SCoS47DrQ/edit?usp=sharing"",""จัดที่ดิน!J40"")"),33.13)</f>
        <v>33.130000000000003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IFERROR(__xludf.DUMMYFUNCTION("IMPORTRANGE(""https://docs.google.com/spreadsheets/d/1QqKyyYR6Q21VydFLVH3TRQUabQu_ym0Zz7PgGX0-kHA/edit?usp=sharing"",""แผน!EU40"")"),350)</f>
        <v>350</v>
      </c>
      <c r="J374" s="1239">
        <f ca="1">J381</f>
        <v>239</v>
      </c>
      <c r="K374" s="1240">
        <f t="shared" ca="1" si="163"/>
        <v>68.285714285714292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IFERROR(__xludf.DUMMYFUNCTION("IMPORTRANGE(""https://docs.google.com/spreadsheets/d/1XWAQStnk-4SwqDmLtmXYiTMKHgktTP8We1SCoS47DrQ/edit?usp=sharing"",""จัดที่ดิน!AH40"")"),194)</f>
        <v>194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IFERROR(__xludf.DUMMYFUNCTION("IMPORTRANGE(""https://docs.google.com/spreadsheets/d/1QqKyyYR6Q21VydFLVH3TRQUabQu_ym0Zz7PgGX0-kHA/edit?usp=sharing"",""แผน!ET40"")"),2000)</f>
        <v>2000</v>
      </c>
      <c r="J378" s="892">
        <f ca="1">IFERROR(__xludf.DUMMYFUNCTION("IMPORTRANGE(""https://docs.google.com/spreadsheets/d/1XWAQStnk-4SwqDmLtmXYiTMKHgktTP8We1SCoS47DrQ/edit?usp=sharing"",""จัดที่ดิน!AI40"")"),1223.88)</f>
        <v>1223.8800000000001</v>
      </c>
      <c r="K378" s="893">
        <f t="shared" ca="1" si="164"/>
        <v>61.19400000000001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IFERROR(__xludf.DUMMYFUNCTION("IMPORTRANGE(""https://docs.google.com/spreadsheets/d/1QqKyyYR6Q21VydFLVH3TRQUabQu_ym0Zz7PgGX0-kHA/edit?usp=sharing"",""แผน!EU40"")"),350)</f>
        <v>350</v>
      </c>
      <c r="J379" s="892">
        <f ca="1">IFERROR(__xludf.DUMMYFUNCTION("IMPORTRANGE(""https://docs.google.com/spreadsheets/d/1XWAQStnk-4SwqDmLtmXYiTMKHgktTP8We1SCoS47DrQ/edit?usp=sharing"",""จัดที่ดิน!AJ40"")"),325)</f>
        <v>325</v>
      </c>
      <c r="K379" s="893">
        <f t="shared" ca="1" si="164"/>
        <v>92.857142857142861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IFERROR(__xludf.DUMMYFUNCTION("IMPORTRANGE(""https://docs.google.com/spreadsheets/d/1XWAQStnk-4SwqDmLtmXYiTMKHgktTP8We1SCoS47DrQ/edit?usp=sharing"",""จัดที่ดิน!AK40"")"),2729.44)</f>
        <v>2729.44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IFERROR(__xludf.DUMMYFUNCTION("IMPORTRANGE(""https://docs.google.com/spreadsheets/d/1QqKyyYR6Q21VydFLVH3TRQUabQu_ym0Zz7PgGX0-kHA/edit?usp=sharing"",""แผน!EU40"")"),350)</f>
        <v>350</v>
      </c>
      <c r="J381" s="892">
        <f ca="1">IFERROR(__xludf.DUMMYFUNCTION("IMPORTRANGE(""https://docs.google.com/spreadsheets/d/1XWAQStnk-4SwqDmLtmXYiTMKHgktTP8We1SCoS47DrQ/edit?usp=sharing"",""จัดที่ดิน!AL40"")"),239)</f>
        <v>239</v>
      </c>
      <c r="K381" s="893">
        <f t="shared" ca="1" si="164"/>
        <v>68.285714285714292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IFERROR(__xludf.DUMMYFUNCTION("IMPORTRANGE(""https://docs.google.com/spreadsheets/d/1XWAQStnk-4SwqDmLtmXYiTMKHgktTP8We1SCoS47DrQ/edit?usp=sharing"",""จัดที่ดิน!AM40"")"),2198.97)</f>
        <v>2198.9699999999998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IFERROR(__xludf.DUMMYFUNCTION("IMPORTRANGE(""https://docs.google.com/spreadsheets/d/1QqKyyYR6Q21VydFLVH3TRQUabQu_ym0Zz7PgGX0-kHA/edit?usp=sharing"",""แผน!EW40"")"),80)</f>
        <v>80</v>
      </c>
      <c r="J385" s="1149">
        <f ca="1">IFERROR(__xludf.DUMMYFUNCTION("IMPORTRANGE(""https://docs.google.com/spreadsheets/d/1XWAQStnk-4SwqDmLtmXYiTMKHgktTP8We1SCoS47DrQ/edit?usp=sharing"",""จัดที่ดิน!AP40"")"),64)</f>
        <v>64</v>
      </c>
      <c r="K385" s="1251">
        <f ca="1">IF(I385&gt;0,J385*100/I385,0)</f>
        <v>80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IFERROR(__xludf.DUMMYFUNCTION("IMPORTRANGE(""https://docs.google.com/spreadsheets/d/1MeEWN-I1oV_STSDYn1IFDPWt_1FKiwhDph83XaGc0o0/edit?usp=sharing"",""งบพรบ!FG40"")"),0)</f>
        <v>0</v>
      </c>
      <c r="M394" s="899">
        <f ca="1">IFERROR(__xludf.DUMMYFUNCTION("IMPORTRANGE(""https://docs.google.com/spreadsheets/d/1MeEWN-I1oV_STSDYn1IFDPWt_1FKiwhDph83XaGc0o0/edit?usp=sharing"",""งบพรบ!FL40"")"),0)</f>
        <v>0</v>
      </c>
      <c r="N394" s="899">
        <f ca="1">IFERROR(__xludf.DUMMYFUNCTION("IMPORTRANGE(""https://docs.google.com/spreadsheets/d/1MeEWN-I1oV_STSDYn1IFDPWt_1FKiwhDph83XaGc0o0/edit?usp=sharing"",""งบพรบ!FN40"")"),0)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IFERROR(__xludf.DUMMYFUNCTION("IMPORTRANGE(""https://docs.google.com/spreadsheets/d/1MeEWN-I1oV_STSDYn1IFDPWt_1FKiwhDph83XaGc0o0/edit?usp=sharing"",""งบพรบ!FJ40"")"),0)</f>
        <v>0</v>
      </c>
      <c r="M397" s="899">
        <f ca="1">IFERROR(__xludf.DUMMYFUNCTION("IMPORTRANGE(""https://docs.google.com/spreadsheets/d/1MeEWN-I1oV_STSDYn1IFDPWt_1FKiwhDph83XaGc0o0/edit?usp=sharing"",""งบพรบ!FM40"")"),0)</f>
        <v>0</v>
      </c>
      <c r="N397" s="899">
        <f ca="1">IFERROR(__xludf.DUMMYFUNCTION("IMPORTRANGE(""https://docs.google.com/spreadsheets/d/1MeEWN-I1oV_STSDYn1IFDPWt_1FKiwhDph83XaGc0o0/edit?usp=sharing"",""งบพรบ!FO40"")"),0)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IFERROR(__xludf.DUMMYFUNCTION("IMPORTRANGE(""https://docs.google.com/spreadsheets/d/1MeEWN-I1oV_STSDYn1IFDPWt_1FKiwhDph83XaGc0o0/edit?usp=sharing"",""งบพรบ!FQ40"")"),0)</f>
        <v>0</v>
      </c>
      <c r="M407" s="899">
        <f ca="1">IFERROR(__xludf.DUMMYFUNCTION("IMPORTRANGE(""https://docs.google.com/spreadsheets/d/1MeEWN-I1oV_STSDYn1IFDPWt_1FKiwhDph83XaGc0o0/edit?usp=sharing"",""งบพรบ!FV40"")"),0)</f>
        <v>0</v>
      </c>
      <c r="N407" s="899">
        <f ca="1">IFERROR(__xludf.DUMMYFUNCTION("IMPORTRANGE(""https://docs.google.com/spreadsheets/d/1MeEWN-I1oV_STSDYn1IFDPWt_1FKiwhDph83XaGc0o0/edit?usp=sharing"",""งบพรบ!FX40"")"),0)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IFERROR(__xludf.DUMMYFUNCTION("IMPORTRANGE(""https://docs.google.com/spreadsheets/d/1MeEWN-I1oV_STSDYn1IFDPWt_1FKiwhDph83XaGc0o0/edit?usp=sharing"",""งบพรบ!FT40"")"),0)</f>
        <v>0</v>
      </c>
      <c r="M410" s="899">
        <f ca="1">IFERROR(__xludf.DUMMYFUNCTION("IMPORTRANGE(""https://docs.google.com/spreadsheets/d/1MeEWN-I1oV_STSDYn1IFDPWt_1FKiwhDph83XaGc0o0/edit?usp=sharing"",""งบพรบ!FW40"")"),0)</f>
        <v>0</v>
      </c>
      <c r="N410" s="899">
        <f ca="1">IFERROR(__xludf.DUMMYFUNCTION("IMPORTRANGE(""https://docs.google.com/spreadsheets/d/1MeEWN-I1oV_STSDYn1IFDPWt_1FKiwhDph83XaGc0o0/edit?usp=sharing"",""งบพรบ!FY40"")"),0)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2382589</v>
      </c>
      <c r="M414" s="1293">
        <f t="shared" ca="1" si="181"/>
        <v>2382589</v>
      </c>
      <c r="N414" s="1293">
        <f t="shared" si="181"/>
        <v>1034084</v>
      </c>
      <c r="O414" s="1293">
        <f ca="1">IF(L414&gt;0,N414*100/L414,0)</f>
        <v>43.40169454320489</v>
      </c>
      <c r="P414" s="1293">
        <f ca="1">IF(M414&gt;0,N414*100/M414,0)</f>
        <v>43.40169454320489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35</v>
      </c>
      <c r="J417" s="1306">
        <f t="shared" ca="1" si="182"/>
        <v>35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115060</v>
      </c>
      <c r="M419" s="1004">
        <f t="shared" ca="1" si="184"/>
        <v>115060</v>
      </c>
      <c r="N419" s="1004">
        <f t="shared" si="184"/>
        <v>105050</v>
      </c>
      <c r="O419" s="1004">
        <f t="shared" ref="O419:O424" ca="1" si="185">IF(L419&gt;0,N419*100/L419,0)</f>
        <v>91.300191204588913</v>
      </c>
      <c r="P419" s="1004">
        <f t="shared" ref="P419:P424" ca="1" si="186">IF(M419&gt;0,N419*100/M419,0)</f>
        <v>91.300191204588913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115060</v>
      </c>
      <c r="M421" s="899">
        <f t="shared" ca="1" si="187"/>
        <v>115060</v>
      </c>
      <c r="N421" s="899">
        <f t="shared" si="187"/>
        <v>105050</v>
      </c>
      <c r="O421" s="899">
        <f t="shared" ca="1" si="185"/>
        <v>91.300191204588913</v>
      </c>
      <c r="P421" s="899">
        <f t="shared" ca="1" si="186"/>
        <v>91.300191204588913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115060</v>
      </c>
      <c r="M422" s="893">
        <f t="shared" ca="1" si="188"/>
        <v>115060</v>
      </c>
      <c r="N422" s="893">
        <f t="shared" si="188"/>
        <v>105050</v>
      </c>
      <c r="O422" s="893">
        <f t="shared" ca="1" si="185"/>
        <v>91.300191204588913</v>
      </c>
      <c r="P422" s="893">
        <f t="shared" ca="1" si="186"/>
        <v>91.300191204588913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IFERROR(__xludf.DUMMYFUNCTION("IMPORTRANGE(""https://docs.google.com/spreadsheets/d/1QqKyyYR6Q21VydFLVH3TRQUabQu_ym0Zz7PgGX0-kHA/edit?usp=sharing"",""แผน!EY40"")"),115060)</f>
        <v>115060</v>
      </c>
      <c r="M424" s="899">
        <f ca="1">L424</f>
        <v>115060</v>
      </c>
      <c r="N424" s="899">
        <f>N425+N426+N427+N428</f>
        <v>105050</v>
      </c>
      <c r="O424" s="899">
        <f t="shared" ca="1" si="185"/>
        <v>91.300191204588913</v>
      </c>
      <c r="P424" s="899">
        <f t="shared" ca="1" si="186"/>
        <v>91.300191204588913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84800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20250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IFERROR(__xludf.DUMMYFUNCTION("IMPORTRANGE(""https://docs.google.com/spreadsheets/d/1QqKyyYR6Q21VydFLVH3TRQUabQu_ym0Zz7PgGX0-kHA/edit?usp=sharing"",""แผน!FB40"")"),0)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35</v>
      </c>
      <c r="J433" s="1031">
        <f ca="1">IF(AND(J435=I435,J437=I437,J439=I439),I437+I439,IF(AND(J435=I437,J437=I437),I437,IF(AND(J435=I439,J439=I439),I439,0)))</f>
        <v>35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IFERROR(__xludf.DUMMYFUNCTION("IMPORTRANGE(""https://docs.google.com/spreadsheets/d/1QqKyyYR6Q21VydFLVH3TRQUabQu_ym0Zz7PgGX0-kHA/edit?usp=sharing"",""แผน!FE40"")"),0)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IFERROR(__xludf.DUMMYFUNCTION("IMPORTRANGE(""https://docs.google.com/spreadsheets/d/1QqKyyYR6Q21VydFLVH3TRQUabQu_ym0Zz7PgGX0-kHA/edit?usp=sharing"",""แผน!FG40"")"),1)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IFERROR(__xludf.DUMMYFUNCTION("IMPORTRANGE(""https://docs.google.com/spreadsheets/d/1QqKyyYR6Q21VydFLVH3TRQUabQu_ym0Zz7PgGX0-kHA/edit?usp=sharing"",""แผน!FH40"")"),0)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50</v>
      </c>
      <c r="J442" s="1322">
        <f t="shared" si="195"/>
        <v>50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120</v>
      </c>
      <c r="J443" s="1306">
        <f t="shared" si="196"/>
        <v>120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372400</v>
      </c>
      <c r="M444" s="1032">
        <f t="shared" ca="1" si="197"/>
        <v>372400</v>
      </c>
      <c r="N444" s="1032">
        <f t="shared" si="197"/>
        <v>254750</v>
      </c>
      <c r="O444" s="1032">
        <f t="shared" ref="O444:O449" ca="1" si="198">IF(L444&gt;0,N444*100/L444,0)</f>
        <v>68.40762620837809</v>
      </c>
      <c r="P444" s="1032">
        <f t="shared" ref="P444:P449" ca="1" si="199">IF(M444&gt;0,N444*100/M444,0)</f>
        <v>68.40762620837809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372400</v>
      </c>
      <c r="M446" s="899">
        <f t="shared" ca="1" si="200"/>
        <v>372400</v>
      </c>
      <c r="N446" s="899">
        <f t="shared" si="200"/>
        <v>254750</v>
      </c>
      <c r="O446" s="899">
        <f t="shared" ca="1" si="198"/>
        <v>68.40762620837809</v>
      </c>
      <c r="P446" s="899">
        <f t="shared" ca="1" si="199"/>
        <v>68.40762620837809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372400</v>
      </c>
      <c r="M447" s="893">
        <f t="shared" ca="1" si="201"/>
        <v>372400</v>
      </c>
      <c r="N447" s="893">
        <f t="shared" si="201"/>
        <v>254750</v>
      </c>
      <c r="O447" s="893">
        <f t="shared" ca="1" si="198"/>
        <v>68.40762620837809</v>
      </c>
      <c r="P447" s="893">
        <f t="shared" ca="1" si="199"/>
        <v>68.40762620837809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IFERROR(__xludf.DUMMYFUNCTION("IMPORTRANGE(""https://docs.google.com/spreadsheets/d/1QqKyyYR6Q21VydFLVH3TRQUabQu_ym0Zz7PgGX0-kHA/edit?usp=sharing"",""แผน!FJ40"")"),372400)</f>
        <v>372400</v>
      </c>
      <c r="M449" s="899">
        <f ca="1">L449</f>
        <v>372400</v>
      </c>
      <c r="N449" s="899">
        <f>N450+N451+N452+N453</f>
        <v>254750</v>
      </c>
      <c r="O449" s="899">
        <f t="shared" ca="1" si="198"/>
        <v>68.40762620837809</v>
      </c>
      <c r="P449" s="899">
        <f t="shared" ca="1" si="199"/>
        <v>68.40762620837809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53480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112000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24270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IFERROR(__xludf.DUMMYFUNCTION("IMPORTRANGE(""https://docs.google.com/spreadsheets/d/1QqKyyYR6Q21VydFLVH3TRQUabQu_ym0Zz7PgGX0-kHA/edit?usp=sharing"",""แผน!FM40"")"),0)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IFERROR(__xludf.DUMMYFUNCTION("IMPORTRANGE(""https://docs.google.com/spreadsheets/d/1QqKyyYR6Q21VydFLVH3TRQUabQu_ym0Zz7PgGX0-kHA/edit?usp=sharing"",""แผน!FN40"")"),50)</f>
        <v>50</v>
      </c>
      <c r="J460" s="1024">
        <v>50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IFERROR(__xludf.DUMMYFUNCTION("IMPORTRANGE(""https://docs.google.com/spreadsheets/d/1QqKyyYR6Q21VydFLVH3TRQUabQu_ym0Zz7PgGX0-kHA/edit?usp=sharing"",""แผน!FO40"")"),120)</f>
        <v>120</v>
      </c>
      <c r="J462" s="1024">
        <v>120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IFERROR(__xludf.DUMMYFUNCTION("IMPORTRANGE(""https://docs.google.com/spreadsheets/d/1QqKyyYR6Q21VydFLVH3TRQUabQu_ym0Zz7PgGX0-kHA/edit?usp=sharing"",""แผน!FO40"")"),120)</f>
        <v>120</v>
      </c>
      <c r="J463" s="1024">
        <v>120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IFERROR(__xludf.DUMMYFUNCTION("IMPORTRANGE(""https://docs.google.com/spreadsheets/d/1QqKyyYR6Q21VydFLVH3TRQUabQu_ym0Zz7PgGX0-kHA/edit?usp=sharing"",""แผน!FN40"")"),50)</f>
        <v>50</v>
      </c>
      <c r="J464" s="1024">
        <v>50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IFERROR(__xludf.DUMMYFUNCTION("IMPORTRANGE(""https://docs.google.com/spreadsheets/d/1QqKyyYR6Q21VydFLVH3TRQUabQu_ym0Zz7PgGX0-kHA/edit?usp=sharing"",""แผน!FX40"")"),131)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IFERROR(__xludf.DUMMYFUNCTION("IMPORTRANGE(""https://docs.google.com/spreadsheets/d/1QqKyyYR6Q21VydFLVH3TRQUabQu_ym0Zz7PgGX0-kHA/edit?usp=sharing"",""แผน!FW40"")"),1300)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1172838</v>
      </c>
      <c r="M467" s="1032">
        <f t="shared" ca="1" si="206"/>
        <v>1172838</v>
      </c>
      <c r="N467" s="1032">
        <f t="shared" si="206"/>
        <v>249911</v>
      </c>
      <c r="O467" s="1032">
        <f t="shared" ref="O467:O472" ca="1" si="207">IF(L467&gt;0,N467*100/L467,0)</f>
        <v>21.308228416882809</v>
      </c>
      <c r="P467" s="1032">
        <f t="shared" ref="P467:P472" ca="1" si="208">IF(M467&gt;0,N467*100/M467,0)</f>
        <v>21.308228416882809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1172838</v>
      </c>
      <c r="M469" s="899">
        <f t="shared" ca="1" si="209"/>
        <v>1172838</v>
      </c>
      <c r="N469" s="899">
        <f t="shared" si="209"/>
        <v>249911</v>
      </c>
      <c r="O469" s="899">
        <f t="shared" ca="1" si="207"/>
        <v>21.308228416882809</v>
      </c>
      <c r="P469" s="899">
        <f t="shared" ca="1" si="208"/>
        <v>21.308228416882809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1172838</v>
      </c>
      <c r="M470" s="893">
        <f t="shared" ca="1" si="210"/>
        <v>1172838</v>
      </c>
      <c r="N470" s="893">
        <f t="shared" si="210"/>
        <v>249911</v>
      </c>
      <c r="O470" s="893">
        <f t="shared" ca="1" si="207"/>
        <v>21.308228416882809</v>
      </c>
      <c r="P470" s="893">
        <f t="shared" ca="1" si="208"/>
        <v>21.308228416882809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IFERROR(__xludf.DUMMYFUNCTION("IMPORTRANGE(""https://docs.google.com/spreadsheets/d/1QqKyyYR6Q21VydFLVH3TRQUabQu_ym0Zz7PgGX0-kHA/edit?usp=sharing"",""แผน!FS40"")"),1172838)</f>
        <v>1172838</v>
      </c>
      <c r="M472" s="899">
        <f ca="1">L472</f>
        <v>1172838</v>
      </c>
      <c r="N472" s="899">
        <f>N473+N474+N475+N476</f>
        <v>249911</v>
      </c>
      <c r="O472" s="899">
        <f t="shared" ca="1" si="207"/>
        <v>21.308228416882809</v>
      </c>
      <c r="P472" s="899">
        <f t="shared" ca="1" si="208"/>
        <v>21.308228416882809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142461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64567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42883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IFERROR(__xludf.DUMMYFUNCTION("IMPORTRANGE(""https://docs.google.com/spreadsheets/d/1QqKyyYR6Q21VydFLVH3TRQUabQu_ym0Zz7PgGX0-kHA/edit?usp=sharing"",""แผน!FV40"")"),0)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IFERROR(__xludf.DUMMYFUNCTION("IMPORTRANGE(""https://docs.google.com/spreadsheets/d/1QqKyyYR6Q21VydFLVH3TRQUabQu_ym0Zz7PgGX0-kHA/edit?usp=sharing"",""แผน!FY40"")"),1170)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IFERROR(__xludf.DUMMYFUNCTION("IMPORTRANGE(""https://docs.google.com/spreadsheets/d/1QqKyyYR6Q21VydFLVH3TRQUabQu_ym0Zz7PgGX0-kHA/edit?usp=sharing"",""แผน!FZ40"")"),117)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IFERROR(__xludf.DUMMYFUNCTION("IMPORTRANGE(""https://docs.google.com/spreadsheets/d/1QqKyyYR6Q21VydFLVH3TRQUabQu_ym0Zz7PgGX0-kHA/edit?usp=sharing"",""แผน!GA40"")"),130)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IFERROR(__xludf.DUMMYFUNCTION("IMPORTRANGE(""https://docs.google.com/spreadsheets/d/1QqKyyYR6Q21VydFLVH3TRQUabQu_ym0Zz7PgGX0-kHA/edit?usp=sharing"",""แผน!GB40"")"),13)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IFERROR(__xludf.DUMMYFUNCTION("IMPORTRANGE(""https://docs.google.com/spreadsheets/d/1QqKyyYR6Q21VydFLVH3TRQUabQu_ym0Zz7PgGX0-kHA/edit?usp=sharing"",""แผน!GC40"")"),1)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IFERROR(__xludf.DUMMYFUNCTION("IMPORTRANGE(""https://docs.google.com/spreadsheets/d/1QqKyyYR6Q21VydFLVH3TRQUabQu_ym0Zz7PgGX0-kHA/edit?usp=sharing"",""แผน!FY40"")"),1170)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IFERROR(__xludf.DUMMYFUNCTION("IMPORTRANGE(""https://docs.google.com/spreadsheets/d/1QqKyyYR6Q21VydFLVH3TRQUabQu_ym0Zz7PgGX0-kHA/edit?usp=sharing"",""แผน!GA40"")"),130)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IFERROR(__xludf.DUMMYFUNCTION("IMPORTRANGE(""https://docs.google.com/spreadsheets/d/1QqKyyYR6Q21VydFLVH3TRQUabQu_ym0Zz7PgGX0-kHA/edit?usp=sharing"",""แผน!GQ40"")"),0)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IFERROR(__xludf.DUMMYFUNCTION("IMPORTRANGE(""https://docs.google.com/spreadsheets/d/1QqKyyYR6Q21VydFLVH3TRQUabQu_ym0Zz7PgGX0-kHA/edit?usp=sharing"",""แผน!GT40"")"),0)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IFERROR(__xludf.DUMMYFUNCTION("IMPORTRANGE(""https://docs.google.com/spreadsheets/d/1QqKyyYR6Q21VydFLVH3TRQUabQu_ym0Zz7PgGX0-kHA/edit?usp=sharing"",""แผน!GU40"")"),0)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IFERROR(__xludf.DUMMYFUNCTION("IMPORTRANGE(""https://docs.google.com/spreadsheets/d/1QqKyyYR6Q21VydFLVH3TRQUabQu_ym0Zz7PgGX0-kHA/edit?usp=sharing"",""แผน!GV40"")"),0)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IFERROR(__xludf.DUMMYFUNCTION("IMPORTRANGE(""https://docs.google.com/spreadsheets/d/1QqKyyYR6Q21VydFLVH3TRQUabQu_ym0Zz7PgGX0-kHA/edit?usp=sharing"",""แผน!GW40"")"),0)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IFERROR(__xludf.DUMMYFUNCTION("IMPORTRANGE(""https://docs.google.com/spreadsheets/d/1QqKyyYR6Q21VydFLVH3TRQUabQu_ym0Zz7PgGX0-kHA/edit?usp=sharing"",""แผน!GX40"")"),0)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IFERROR(__xludf.DUMMYFUNCTION("IMPORTRANGE(""https://docs.google.com/spreadsheets/d/1QqKyyYR6Q21VydFLVH3TRQUabQu_ym0Zz7PgGX0-kHA/edit?usp=sharing"",""แผน!GY40"")"),0)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IFERROR(__xludf.DUMMYFUNCTION("IMPORTRANGE(""https://docs.google.com/spreadsheets/d/1QqKyyYR6Q21VydFLVH3TRQUabQu_ym0Zz7PgGX0-kHA/edit?usp=sharing"",""แผน!GZ40"")"),0)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35301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338611</v>
      </c>
      <c r="M544" s="1004">
        <f t="shared" ca="1" si="236"/>
        <v>338611</v>
      </c>
      <c r="N544" s="1004">
        <f t="shared" si="236"/>
        <v>237536</v>
      </c>
      <c r="O544" s="1004">
        <f t="shared" ref="O544:O549" ca="1" si="237">IF(L544&gt;0,N544*100/L544,0)</f>
        <v>70.150113256805</v>
      </c>
      <c r="P544" s="1004">
        <f t="shared" ref="P544:P549" ca="1" si="238">IF(M544&gt;0,N544*100/M544,0)</f>
        <v>70.150113256805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338611</v>
      </c>
      <c r="M546" s="899">
        <f t="shared" ca="1" si="240"/>
        <v>338611</v>
      </c>
      <c r="N546" s="899">
        <f t="shared" si="240"/>
        <v>237536</v>
      </c>
      <c r="O546" s="899">
        <f t="shared" ca="1" si="237"/>
        <v>70.150113256805</v>
      </c>
      <c r="P546" s="899">
        <f t="shared" ca="1" si="238"/>
        <v>70.150113256805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338611</v>
      </c>
      <c r="M547" s="893">
        <f t="shared" ca="1" si="241"/>
        <v>338611</v>
      </c>
      <c r="N547" s="893">
        <f t="shared" si="241"/>
        <v>237536</v>
      </c>
      <c r="O547" s="893">
        <f t="shared" ca="1" si="237"/>
        <v>70.150113256805</v>
      </c>
      <c r="P547" s="893">
        <f t="shared" ca="1" si="238"/>
        <v>70.150113256805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IFERROR(__xludf.DUMMYFUNCTION("IMPORTRANGE(""https://docs.google.com/spreadsheets/d/1QqKyyYR6Q21VydFLVH3TRQUabQu_ym0Zz7PgGX0-kHA/edit?usp=sharing"",""แผน!HB40"")"),338611)</f>
        <v>338611</v>
      </c>
      <c r="M549" s="899">
        <f ca="1">L549</f>
        <v>338611</v>
      </c>
      <c r="N549" s="899">
        <f>N550+N551+N552+N553+N554</f>
        <v>237536</v>
      </c>
      <c r="O549" s="899">
        <f t="shared" ca="1" si="237"/>
        <v>70.150113256805</v>
      </c>
      <c r="P549" s="899">
        <f t="shared" ca="1" si="238"/>
        <v>70.150113256805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64557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156262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16717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IFERROR(__xludf.DUMMYFUNCTION("IMPORTRANGE(""https://docs.google.com/spreadsheets/d/1QqKyyYR6Q21VydFLVH3TRQUabQu_ym0Zz7PgGX0-kHA/edit?usp=sharing"",""แผน!HF40"")"),0)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35301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IFERROR(__xludf.DUMMYFUNCTION("IMPORTRANGE(""https://docs.google.com/spreadsheets/d/1QqKyyYR6Q21VydFLVH3TRQUabQu_ym0Zz7PgGX0-kHA/edit?usp=sharing"",""แผน!HH40"")"),35301)</f>
        <v>35301</v>
      </c>
      <c r="J560" s="1030">
        <f t="shared" ref="J560:J561" si="247">J562+J564+J566</f>
        <v>35302.75</v>
      </c>
      <c r="K560" s="1174">
        <f t="shared" ca="1" si="246"/>
        <v>100.00495736664683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IFERROR(__xludf.DUMMYFUNCTION("IMPORTRANGE(""https://docs.google.com/spreadsheets/d/1QqKyyYR6Q21VydFLVH3TRQUabQu_ym0Zz7PgGX0-kHA/edit?usp=sharing"",""แผน!HG40"")"),5276)</f>
        <v>5276</v>
      </c>
      <c r="J561" s="1030">
        <f t="shared" si="247"/>
        <v>5276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31360.240000000002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4781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2765.09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327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1177.42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168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IFERROR(__xludf.DUMMYFUNCTION("IMPORTRANGE(""https://docs.google.com/spreadsheets/d/1QqKyyYR6Q21VydFLVH3TRQUabQu_ym0Zz7PgGX0-kHA/edit?usp=sharing"",""แผน!HH40"")"),35301)</f>
        <v>35301</v>
      </c>
      <c r="J568" s="1031">
        <f t="shared" ref="J568:J569" si="248">J570+J572+J574</f>
        <v>35303.448000000004</v>
      </c>
      <c r="K568" s="1174">
        <f t="shared" ref="K568:K569" ca="1" si="249">IF(I568&gt;0,J568*100/I568,0)</f>
        <v>100.00693464774369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IFERROR(__xludf.DUMMYFUNCTION("IMPORTRANGE(""https://docs.google.com/spreadsheets/d/1QqKyyYR6Q21VydFLVH3TRQUabQu_ym0Zz7PgGX0-kHA/edit?usp=sharing"",""แผน!HG40"")"),5276)</f>
        <v>5276</v>
      </c>
      <c r="J569" s="1031">
        <f t="shared" si="248"/>
        <v>5276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32116.240000000002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4864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1967.0830000000001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232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1220.125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180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IFERROR(__xludf.DUMMYFUNCTION("IMPORTRANGE(""https://docs.google.com/spreadsheets/d/1QqKyyYR6Q21VydFLVH3TRQUabQu_ym0Zz7PgGX0-kHA/edit?usp=sharing"",""แผน!HH40"")"),35301)</f>
        <v>35301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IFERROR(__xludf.DUMMYFUNCTION("IMPORTRANGE(""https://docs.google.com/spreadsheets/d/1QqKyyYR6Q21VydFLVH3TRQUabQu_ym0Zz7PgGX0-kHA/edit?usp=sharing"",""แผน!HG40"")"),5276)</f>
        <v>5276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1102.94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IFERROR(__xludf.DUMMYFUNCTION("IMPORTRANGE(""https://docs.google.com/spreadsheets/d/1QqKyyYR6Q21VydFLVH3TRQUabQu_ym0Zz7PgGX0-kHA/edit?usp=sharing"",""แผน!HJ40"")"),1102.94)</f>
        <v>1102.94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IFERROR(__xludf.DUMMYFUNCTION("IMPORTRANGE(""https://docs.google.com/spreadsheets/d/1QqKyyYR6Q21VydFLVH3TRQUabQu_ym0Zz7PgGX0-kHA/edit?usp=sharing"",""แผน!HI40"")"),115)</f>
        <v>115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IFERROR(__xludf.DUMMYFUNCTION("IMPORTRANGE(""https://docs.google.com/spreadsheets/d/1QqKyyYR6Q21VydFLVH3TRQUabQu_ym0Zz7PgGX0-kHA/edit?usp=sharing"",""แผน!HL40"")"),6)</f>
        <v>6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IFERROR(__xludf.DUMMYFUNCTION("IMPORTRANGE(""https://docs.google.com/spreadsheets/d/1QqKyyYR6Q21VydFLVH3TRQUabQu_ym0Zz7PgGX0-kHA/edit?usp=sharing"",""แผน!HK40"")"),2)</f>
        <v>2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100</v>
      </c>
      <c r="J628" s="1438">
        <f t="shared" ca="1" si="262"/>
        <v>71</v>
      </c>
      <c r="K628" s="1439">
        <f ca="1">IF(I628&gt;0,J628*100/I628,0)</f>
        <v>71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383680</v>
      </c>
      <c r="M629" s="1032">
        <f t="shared" ca="1" si="263"/>
        <v>383680</v>
      </c>
      <c r="N629" s="1032">
        <f t="shared" si="263"/>
        <v>186837</v>
      </c>
      <c r="O629" s="1032">
        <f t="shared" ref="O629:O634" ca="1" si="264">IF(L629&gt;0,N629*100/L629,0)</f>
        <v>48.696048790658885</v>
      </c>
      <c r="P629" s="1032">
        <f t="shared" ref="P629:P634" ca="1" si="265">IF(M629&gt;0,N629*100/M629,0)</f>
        <v>48.696048790658885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383680</v>
      </c>
      <c r="M631" s="899">
        <f t="shared" ca="1" si="266"/>
        <v>383680</v>
      </c>
      <c r="N631" s="899">
        <f t="shared" si="266"/>
        <v>186837</v>
      </c>
      <c r="O631" s="899">
        <f t="shared" ca="1" si="264"/>
        <v>48.696048790658885</v>
      </c>
      <c r="P631" s="899">
        <f t="shared" ca="1" si="265"/>
        <v>48.696048790658885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383680</v>
      </c>
      <c r="M632" s="893">
        <f t="shared" ca="1" si="267"/>
        <v>383680</v>
      </c>
      <c r="N632" s="893">
        <f t="shared" si="267"/>
        <v>186837</v>
      </c>
      <c r="O632" s="893">
        <f t="shared" ca="1" si="264"/>
        <v>48.696048790658885</v>
      </c>
      <c r="P632" s="893">
        <f t="shared" ca="1" si="265"/>
        <v>48.696048790658885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IFERROR(__xludf.DUMMYFUNCTION("IMPORTRANGE(""https://docs.google.com/spreadsheets/d/1QqKyyYR6Q21VydFLVH3TRQUabQu_ym0Zz7PgGX0-kHA/edit?usp=sharing"",""แผน!HN40"")"),383680)</f>
        <v>383680</v>
      </c>
      <c r="M634" s="899">
        <f ca="1">L634</f>
        <v>383680</v>
      </c>
      <c r="N634" s="899">
        <f>N635+N636+N637+N638</f>
        <v>186837</v>
      </c>
      <c r="O634" s="899">
        <f t="shared" ca="1" si="264"/>
        <v>48.696048790658885</v>
      </c>
      <c r="P634" s="899">
        <f t="shared" ca="1" si="265"/>
        <v>48.696048790658885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64557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122280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IFERROR(__xludf.DUMMYFUNCTION("IMPORTRANGE(""https://docs.google.com/spreadsheets/d/1QqKyyYR6Q21VydFLVH3TRQUabQu_ym0Zz7PgGX0-kHA/edit?usp=sharing"",""แผน!HQ40"")"),0)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IFERROR(__xludf.DUMMYFUNCTION("IMPORTRANGE(""https://docs.google.com/spreadsheets/d/1QqKyyYR6Q21VydFLVH3TRQUabQu_ym0Zz7PgGX0-kHA/edit?usp=sharing"",""แผน!HR40"")"),2)</f>
        <v>2</v>
      </c>
      <c r="J643" s="1024">
        <v>2</v>
      </c>
      <c r="K643" s="1010">
        <f t="shared" ref="K643:K652" ca="1" si="271">IF(I643&gt;0,J643*100/I643,0)</f>
        <v>100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IFERROR(__xludf.DUMMYFUNCTION("IMPORTRANGE(""https://docs.google.com/spreadsheets/d/1QqKyyYR6Q21VydFLVH3TRQUabQu_ym0Zz7PgGX0-kHA/edit?usp=sharing"",""แผน!HR40"")"),2)</f>
        <v>2</v>
      </c>
      <c r="J644" s="1024">
        <v>2</v>
      </c>
      <c r="K644" s="1010">
        <f t="shared" ca="1" si="271"/>
        <v>100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IFERROR(__xludf.DUMMYFUNCTION("IMPORTRANGE(""https://docs.google.com/spreadsheets/d/1XWAQStnk-4SwqDmLtmXYiTMKHgktTP8We1SCoS47DrQ/edit?usp=sharing"",""จัดที่ดิน!AS40"")"),49)</f>
        <v>49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IFERROR(__xludf.DUMMYFUNCTION("IMPORTRANGE(""https://docs.google.com/spreadsheets/d/1XWAQStnk-4SwqDmLtmXYiTMKHgktTP8We1SCoS47DrQ/edit?usp=sharing"",""จัดที่ดิน!AT40"")"),32.2)</f>
        <v>32.200000000000003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IFERROR(__xludf.DUMMYFUNCTION("IMPORTRANGE(""https://docs.google.com/spreadsheets/d/1QqKyyYR6Q21VydFLVH3TRQUabQu_ym0Zz7PgGX0-kHA/edit?usp=sharing"",""แผน!HS40"")"),100)</f>
        <v>100</v>
      </c>
      <c r="J647" s="892">
        <f ca="1">IFERROR(__xludf.DUMMYFUNCTION("IMPORTRANGE(""https://docs.google.com/spreadsheets/d/1XWAQStnk-4SwqDmLtmXYiTMKHgktTP8We1SCoS47DrQ/edit?usp=sharing"",""จัดที่ดิน!AU40"")"),82)</f>
        <v>82</v>
      </c>
      <c r="K647" s="1010">
        <f t="shared" ca="1" si="271"/>
        <v>82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IFERROR(__xludf.DUMMYFUNCTION("IMPORTRANGE(""https://docs.google.com/spreadsheets/d/1XWAQStnk-4SwqDmLtmXYiTMKHgktTP8We1SCoS47DrQ/edit?usp=sharing"",""จัดที่ดิน!AV40"")"),52.55)</f>
        <v>52.55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IFERROR(__xludf.DUMMYFUNCTION("IMPORTRANGE(""https://docs.google.com/spreadsheets/d/1QqKyyYR6Q21VydFLVH3TRQUabQu_ym0Zz7PgGX0-kHA/edit?usp=sharing"",""แผน!HS40"")"),100)</f>
        <v>100</v>
      </c>
      <c r="J649" s="892">
        <f ca="1">IFERROR(__xludf.DUMMYFUNCTION("IMPORTRANGE(""https://docs.google.com/spreadsheets/d/1XWAQStnk-4SwqDmLtmXYiTMKHgktTP8We1SCoS47DrQ/edit?usp=sharing"",""จัดที่ดิน!AW40"")"),84)</f>
        <v>84</v>
      </c>
      <c r="K649" s="1010">
        <f t="shared" ca="1" si="271"/>
        <v>84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IFERROR(__xludf.DUMMYFUNCTION("IMPORTRANGE(""https://docs.google.com/spreadsheets/d/1XWAQStnk-4SwqDmLtmXYiTMKHgktTP8We1SCoS47DrQ/edit?usp=sharing"",""จัดที่ดิน!AX40"")"),53.99)</f>
        <v>53.99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IFERROR(__xludf.DUMMYFUNCTION("IMPORTRANGE(""https://docs.google.com/spreadsheets/d/1QqKyyYR6Q21VydFLVH3TRQUabQu_ym0Zz7PgGX0-kHA/edit?usp=sharing"",""แผน!HS40"")"),100)</f>
        <v>100</v>
      </c>
      <c r="J651" s="892">
        <f ca="1">IFERROR(__xludf.DUMMYFUNCTION("IMPORTRANGE(""https://docs.google.com/spreadsheets/d/1XWAQStnk-4SwqDmLtmXYiTMKHgktTP8We1SCoS47DrQ/edit?usp=sharing"",""จัดที่ดิน!AY40"")"),71)</f>
        <v>71</v>
      </c>
      <c r="K651" s="1010">
        <f t="shared" ca="1" si="271"/>
        <v>71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IFERROR(__xludf.DUMMYFUNCTION("IMPORTRANGE(""https://docs.google.com/spreadsheets/d/1XWAQStnk-4SwqDmLtmXYiTMKHgktTP8We1SCoS47DrQ/edit?usp=sharing"",""จัดที่ดิน!AZ40"")"),49.17)</f>
        <v>49.17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 hidden="1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IFERROR(__xludf.DUMMYFUNCTION("IMPORTRANGE(""https://docs.google.com/spreadsheets/d/1QqKyyYR6Q21VydFLVH3TRQUabQu_ym0Zz7PgGX0-kHA/edit?usp=sharing"",""แผน!HV40"")"),0)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IFERROR(__xludf.DUMMYFUNCTION("IMPORTRANGE(""https://docs.google.com/spreadsheets/d/1QqKyyYR6Q21VydFLVH3TRQUabQu_ym0Zz7PgGX0-kHA/edit?usp=sharing"",""แผน!IA40"")"),0)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IFERROR(__xludf.DUMMYFUNCTION("IMPORTRANGE(""https://docs.google.com/spreadsheets/d/1QqKyyYR6Q21VydFLVH3TRQUabQu_ym0Zz7PgGX0-kHA/edit?usp=sharing"",""แผน!HZ40"")"),0)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IFERROR(__xludf.DUMMYFUNCTION("IMPORTRANGE(""https://docs.google.com/spreadsheets/d/1QqKyyYR6Q21VydFLVH3TRQUabQu_ym0Zz7PgGX0-kHA/edit?usp=sharing"",""แผน!HZ40"")"),0)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IFERROR(__xludf.DUMMYFUNCTION("IMPORTRANGE(""https://docs.google.com/spreadsheets/d/1QqKyyYR6Q21VydFLVH3TRQUabQu_ym0Zz7PgGX0-kHA/edit?usp=sharing"",""แผน!IB40"")"),0)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 hidden="1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 hidden="1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0</v>
      </c>
      <c r="M685" s="1032">
        <f t="shared" si="282"/>
        <v>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0</v>
      </c>
      <c r="M687" s="899">
        <f t="shared" si="285"/>
        <v>0</v>
      </c>
      <c r="N687" s="899">
        <f t="shared" si="285"/>
        <v>0</v>
      </c>
      <c r="O687" s="899">
        <f t="shared" ca="1" si="283"/>
        <v>0</v>
      </c>
      <c r="P687" s="899">
        <f t="shared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 hidden="1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0</v>
      </c>
      <c r="M688" s="893">
        <f t="shared" si="286"/>
        <v>0</v>
      </c>
      <c r="N688" s="893">
        <f t="shared" si="286"/>
        <v>0</v>
      </c>
      <c r="O688" s="893">
        <f t="shared" ca="1" si="283"/>
        <v>0</v>
      </c>
      <c r="P688" s="893">
        <f t="shared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IFERROR(__xludf.DUMMYFUNCTION("IMPORTRANGE(""https://docs.google.com/spreadsheets/d/1QqKyyYR6Q21VydFLVH3TRQUabQu_ym0Zz7PgGX0-kHA/edit?usp=sharing"",""แผน!HW40"")"),0)</f>
        <v>0</v>
      </c>
      <c r="M690" s="899">
        <v>0</v>
      </c>
      <c r="N690" s="899">
        <f>N691+N692+N693+N694</f>
        <v>0</v>
      </c>
      <c r="O690" s="899">
        <f ca="1">IF(L690&gt;0,N690*100/L690,0)</f>
        <v>0</v>
      </c>
      <c r="P690" s="899">
        <f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 hidden="1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 hidden="1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 hidden="1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 hidden="1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 hidden="1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 hidden="1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 hidden="1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IFERROR(__xludf.DUMMYFUNCTION("IMPORTRANGE(""https://docs.google.com/spreadsheets/d/1QqKyyYR6Q21VydFLVH3TRQUabQu_ym0Zz7PgGX0-kHA/edit?usp=sharing"",""แผน!IC40"")"),0)</f>
        <v>0</v>
      </c>
      <c r="J699" s="892">
        <f ca="1">IFERROR(__xludf.DUMMYFUNCTION("IMPORTRANGE(""https://docs.google.com/spreadsheets/d/1XWAQStnk-4SwqDmLtmXYiTMKHgktTP8We1SCoS47DrQ/edit?usp=sharing"",""จัดที่ดิน!BB40"")"),0)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 hidden="1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IFERROR(__xludf.DUMMYFUNCTION("IMPORTRANGE(""https://docs.google.com/spreadsheets/d/1QqKyyYR6Q21VydFLVH3TRQUabQu_ym0Zz7PgGX0-kHA/edit?usp=sharing"",""แผน!ID40"")"),0)</f>
        <v>0</v>
      </c>
      <c r="J700" s="892">
        <f ca="1">IFERROR(__xludf.DUMMYFUNCTION("IMPORTRANGE(""https://docs.google.com/spreadsheets/d/1XWAQStnk-4SwqDmLtmXYiTMKHgktTP8We1SCoS47DrQ/edit?usp=sharing"",""จัดที่ดิน!BD40"")"),0)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IFERROR(__xludf.DUMMYFUNCTION("IMPORTRANGE(""https://docs.google.com/spreadsheets/d/1QqKyyYR6Q21VydFLVH3TRQUabQu_ym0Zz7PgGX0-kHA/edit?usp=sharing"",""แผน!IE40"")"),0)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IFERROR(__xludf.DUMMYFUNCTION("IMPORTRANGE(""https://docs.google.com/spreadsheets/d/1QqKyyYR6Q21VydFLVH3TRQUabQu_ym0Zz7PgGX0-kHA/edit?usp=sharing"",""แผน!IF40"")"),0)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IFERROR(__xludf.DUMMYFUNCTION("IMPORTRANGE(""https://docs.google.com/spreadsheets/d/1QqKyyYR6Q21VydFLVH3TRQUabQu_ym0Zz7PgGX0-kHA/edit?usp=sharing"",""แผน!IG40"")"),0)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IFERROR(__xludf.DUMMYFUNCTION("IMPORTRANGE(""https://docs.google.com/spreadsheets/d/1QqKyyYR6Q21VydFLVH3TRQUabQu_ym0Zz7PgGX0-kHA/edit?usp=sharing"",""แผน!IH40"")"),0)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IFERROR(__xludf.DUMMYFUNCTION("IMPORTRANGE(""https://docs.google.com/spreadsheets/d/1XWAQStnk-4SwqDmLtmXYiTMKHgktTP8We1SCoS47DrQ/edit?usp=sharing"",""จัดที่ดิน!BF40"")"),0)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IFERROR(__xludf.DUMMYFUNCTION("IMPORTRANGE(""https://docs.google.com/spreadsheets/d/1XWAQStnk-4SwqDmLtmXYiTMKHgktTP8We1SCoS47DrQ/edit?usp=sharing"",""จัดที่ดิน!BG40"")"),0)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IFERROR(__xludf.DUMMYFUNCTION("IMPORTRANGE(""https://docs.google.com/spreadsheets/d/1QqKyyYR6Q21VydFLVH3TRQUabQu_ym0Zz7PgGX0-kHA/edit?usp=sharing"",""แผน!II40"")"),0)</f>
        <v>0</v>
      </c>
      <c r="J720" s="892">
        <f ca="1">IFERROR(__xludf.DUMMYFUNCTION("IMPORTRANGE(""https://docs.google.com/spreadsheets/d/1XWAQStnk-4SwqDmLtmXYiTMKHgktTP8We1SCoS47DrQ/edit?usp=sharing"",""จัดที่ดิน!BH40"")"),0)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IFERROR(__xludf.DUMMYFUNCTION("IMPORTRANGE(""https://docs.google.com/spreadsheets/d/1QqKyyYR6Q21VydFLVH3TRQUabQu_ym0Zz7PgGX0-kHA/edit?usp=sharing"",""แผน!IJ40"")"),0)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IFERROR(__xludf.DUMMYFUNCTION("IMPORTRANGE(""https://docs.google.com/spreadsheets/d/1QqKyyYR6Q21VydFLVH3TRQUabQu_ym0Zz7PgGX0-kHA/edit?usp=sharing"",""แผน!IK40"")"),0)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IFERROR(__xludf.DUMMYFUNCTION("IMPORTRANGE(""https://docs.google.com/spreadsheets/d/1QqKyyYR6Q21VydFLVH3TRQUabQu_ym0Zz7PgGX0-kHA/edit?usp=sharing"",""แผน!IL40"")"),0)</f>
        <v>0</v>
      </c>
      <c r="J723" s="892">
        <f ca="1">IFERROR(__xludf.DUMMYFUNCTION("IMPORTRANGE(""https://docs.google.com/spreadsheets/d/1XWAQStnk-4SwqDmLtmXYiTMKHgktTP8We1SCoS47DrQ/edit?usp=sharing"",""จัดที่ดิน!BM40"")"),0)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IFERROR(__xludf.DUMMYFUNCTION("IMPORTRANGE(""https://docs.google.com/spreadsheets/d/1XWAQStnk-4SwqDmLtmXYiTMKHgktTP8We1SCoS47DrQ/edit?usp=sharing"",""จัดที่ดิน!BN40"")"),0)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IFERROR(__xludf.DUMMYFUNCTION("IMPORTRANGE(""https://docs.google.com/spreadsheets/d/1QqKyyYR6Q21VydFLVH3TRQUabQu_ym0Zz7PgGX0-kHA/edit?usp=sharing"",""แผน!IM40"")"),0)</f>
        <v>0</v>
      </c>
      <c r="J725" s="892">
        <f ca="1">IFERROR(__xludf.DUMMYFUNCTION("IMPORTRANGE(""https://docs.google.com/spreadsheets/d/1XWAQStnk-4SwqDmLtmXYiTMKHgktTP8We1SCoS47DrQ/edit?usp=sharing"",""จัดที่ดิน!BO40"")"),0)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IFERROR(__xludf.DUMMYFUNCTION("IMPORTRANGE(""https://docs.google.com/spreadsheets/d/1QqKyyYR6Q21VydFLVH3TRQUabQu_ym0Zz7PgGX0-kHA/edit?usp=sharing"",""แผน!IN40"")"),0)</f>
        <v>0</v>
      </c>
      <c r="J726" s="892">
        <f ca="1">IFERROR(__xludf.DUMMYFUNCTION("IMPORTRANGE(""https://docs.google.com/spreadsheets/d/1XWAQStnk-4SwqDmLtmXYiTMKHgktTP8We1SCoS47DrQ/edit?usp=sharing"",""จัดที่ดิน!BR40"")"),0)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IFERROR(__xludf.DUMMYFUNCTION("IMPORTRANGE(""https://docs.google.com/spreadsheets/d/1XWAQStnk-4SwqDmLtmXYiTMKHgktTP8We1SCoS47DrQ/edit?usp=sharing"",""จัดที่ดิน!BS40"")"),0)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IFERROR(__xludf.DUMMYFUNCTION("IMPORTRANGE(""https://docs.google.com/spreadsheets/d/1QqKyyYR6Q21VydFLVH3TRQUabQu_ym0Zz7PgGX0-kHA/edit?usp=sharing"",""แผน!IO40"")"),0)</f>
        <v>0</v>
      </c>
      <c r="J728" s="892">
        <f ca="1">IFERROR(__xludf.DUMMYFUNCTION("IMPORTRANGE(""https://docs.google.com/spreadsheets/d/1XWAQStnk-4SwqDmLtmXYiTMKHgktTP8We1SCoS47DrQ/edit?usp=sharing"",""จัดที่ดิน!BT40"")"),0)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IFERROR(__xludf.DUMMYFUNCTION("IMPORTRANGE(""https://docs.google.com/spreadsheets/d/1QqKyyYR6Q21VydFLVH3TRQUabQu_ym0Zz7PgGX0-kHA/edit?usp=sharing"",""แผน!IP40"")"),0)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IFERROR(__xludf.DUMMYFUNCTION("IMPORTRANGE(""https://docs.google.com/spreadsheets/d/1QqKyyYR6Q21VydFLVH3TRQUabQu_ym0Zz7PgGX0-kHA/edit?usp=sharing"",""แผน!JJ40"")"),0)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IFERROR(__xludf.DUMMYFUNCTION("IMPORTRANGE(""https://docs.google.com/spreadsheets/d/1QqKyyYR6Q21VydFLVH3TRQUabQu_ym0Zz7PgGX0-kHA/edit?usp=sharing"",""แผน!JN40"")"),0)</f>
        <v>0</v>
      </c>
      <c r="J800" s="1009">
        <f ca="1">IFERROR(__xludf.DUMMYFUNCTION("IMPORTRANGE(""https://docs.google.com/spreadsheets/d/1MaWodYyGHDf7siQLGxnXhG4mBNTNIuy296niS2xXulU/edit?usp=sharing"",""RTK!H40"")"),0)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IFERROR(__xludf.DUMMYFUNCTION("IMPORTRANGE(""https://docs.google.com/spreadsheets/d/1MaWodYyGHDf7siQLGxnXhG4mBNTNIuy296niS2xXulU/edit?usp=sharing"",""RTK!I40"")"),0)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892">
        <f ca="1">IFERROR(__xludf.DUMMYFUNCTION("IMPORTRANGE(""https://docs.google.com/spreadsheets/d/19vJNZY_5yjcGF2XGBMNZRCAIB0Kwfpjp8YEOfu-bneM/edit?usp=sharing"",""งานกองทุน!F40"")"),4160430.52)</f>
        <v>4160430.52</v>
      </c>
      <c r="K821" s="893">
        <f t="shared" ref="K821:K828" ca="1" si="335">IF(I821&gt;0,J821*100/I821,0)</f>
        <v>68.55975780067223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IFERROR(__xludf.DUMMYFUNCTION("IMPORTRANGE(""https://docs.google.com/spreadsheets/d/19vJNZY_5yjcGF2XGBMNZRCAIB0Kwfpjp8YEOfu-bneM/edit?usp=sharing"",""งานกองทุน!C40"")"),530)</f>
        <v>530</v>
      </c>
      <c r="J822" s="892">
        <f ca="1">IFERROR(__xludf.DUMMYFUNCTION("IMPORTRANGE(""https://docs.google.com/spreadsheets/d/19vJNZY_5yjcGF2XGBMNZRCAIB0Kwfpjp8YEOfu-bneM/edit?usp=sharing"",""งานกองทุน!E40"")"),349)</f>
        <v>349</v>
      </c>
      <c r="K822" s="893">
        <f t="shared" ca="1" si="335"/>
        <v>65.84905660377359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892">
        <f ca="1">IFERROR(__xludf.DUMMYFUNCTION("IMPORTRANGE(""https://docs.google.com/spreadsheets/d/19vJNZY_5yjcGF2XGBMNZRCAIB0Kwfpjp8YEOfu-bneM/edit?usp=sharing"",""งานกองทุน!K40"")"),624607.8)</f>
        <v>624607.80000000005</v>
      </c>
      <c r="K823" s="893">
        <f t="shared" ca="1" si="335"/>
        <v>16.205029807205261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IFERROR(__xludf.DUMMYFUNCTION("IMPORTRANGE(""https://docs.google.com/spreadsheets/d/19vJNZY_5yjcGF2XGBMNZRCAIB0Kwfpjp8YEOfu-bneM/edit?usp=sharing"",""งานกองทุน!H40"")"),233)</f>
        <v>233</v>
      </c>
      <c r="J824" s="892">
        <f ca="1">IFERROR(__xludf.DUMMYFUNCTION("IMPORTRANGE(""https://docs.google.com/spreadsheets/d/19vJNZY_5yjcGF2XGBMNZRCAIB0Kwfpjp8YEOfu-bneM/edit?usp=sharing"",""งานกองทุน!J40"")"),89)</f>
        <v>89</v>
      </c>
      <c r="K824" s="893">
        <f t="shared" ca="1" si="335"/>
        <v>38.197424892703864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IFERROR(__xludf.DUMMYFUNCTION("IMPORTRANGE(""https://docs.google.com/spreadsheets/d/19vJNZY_5yjcGF2XGBMNZRCAIB0Kwfpjp8YEOfu-bneM/edit?usp=sharing"",""งานกองทุน!N40"")"),0)</f>
        <v>0</v>
      </c>
      <c r="J825" s="892">
        <f ca="1">IFERROR(__xludf.DUMMYFUNCTION("IMPORTRANGE(""https://docs.google.com/spreadsheets/d/19vJNZY_5yjcGF2XGBMNZRCAIB0Kwfpjp8YEOfu-bneM/edit?usp=sharing"",""งานกองทุน!P40"")"),92814.66)</f>
        <v>92814.66</v>
      </c>
      <c r="K825" s="893">
        <f t="shared" ca="1" si="335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IFERROR(__xludf.DUMMYFUNCTION("IMPORTRANGE(""https://docs.google.com/spreadsheets/d/19vJNZY_5yjcGF2XGBMNZRCAIB0Kwfpjp8YEOfu-bneM/edit?usp=sharing"",""งานกองทุน!M40"")"),0)</f>
        <v>0</v>
      </c>
      <c r="J826" s="892">
        <f ca="1">IFERROR(__xludf.DUMMYFUNCTION("IMPORTRANGE(""https://docs.google.com/spreadsheets/d/19vJNZY_5yjcGF2XGBMNZRCAIB0Kwfpjp8YEOfu-bneM/edit?usp=sharing"",""งานกองทุน!O40"")"),2)</f>
        <v>2</v>
      </c>
      <c r="K826" s="893">
        <f t="shared" ca="1" si="335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IFERROR(__xludf.DUMMYFUNCTION("IMPORTRANGE(""https://docs.google.com/spreadsheets/d/19vJNZY_5yjcGF2XGBMNZRCAIB0Kwfpjp8YEOfu-bneM/edit?usp=sharing"",""งานกองทุน!S40"")"),5080000)</f>
        <v>5080000</v>
      </c>
      <c r="J827" s="892">
        <f ca="1">IFERROR(__xludf.DUMMYFUNCTION("IMPORTRANGE(""https://docs.google.com/spreadsheets/d/19vJNZY_5yjcGF2XGBMNZRCAIB0Kwfpjp8YEOfu-bneM/edit?usp=sharing"",""งานกองทุน!U40"")"),0)</f>
        <v>0</v>
      </c>
      <c r="K827" s="893">
        <f t="shared" ca="1" si="335"/>
        <v>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IFERROR(__xludf.DUMMYFUNCTION("IMPORTRANGE(""https://docs.google.com/spreadsheets/d/19vJNZY_5yjcGF2XGBMNZRCAIB0Kwfpjp8YEOfu-bneM/edit?usp=sharing"",""งานกองทุน!R40"")"),203)</f>
        <v>203</v>
      </c>
      <c r="J828" s="1149">
        <f ca="1">IFERROR(__xludf.DUMMYFUNCTION("IMPORTRANGE(""https://docs.google.com/spreadsheets/d/19vJNZY_5yjcGF2XGBMNZRCAIB0Kwfpjp8YEOfu-bneM/edit?usp=sharing"",""งานกองทุน!T40"")"),0)</f>
        <v>0</v>
      </c>
      <c r="K828" s="1251">
        <f t="shared" ca="1" si="335"/>
        <v>0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8D1B-5C7D-4D57-97A8-69C1FC23908C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6098853</v>
      </c>
      <c r="M8" s="879">
        <f t="shared" ca="1" si="0"/>
        <v>5484651.9000000004</v>
      </c>
      <c r="N8" s="879">
        <f t="shared" ca="1" si="0"/>
        <v>3428952.89</v>
      </c>
      <c r="O8" s="879">
        <f t="shared" ref="O8:O16" ca="1" si="1">IF(L8&gt;0,N8*100/L8,0)</f>
        <v>56.222914210262161</v>
      </c>
      <c r="P8" s="879">
        <f t="shared" ref="P8:P16" ca="1" si="2">IF(M8&gt;0,N8*100/M8,0)</f>
        <v>62.519061419376492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6098853</v>
      </c>
      <c r="M10" s="886">
        <f t="shared" ca="1" si="3"/>
        <v>5484651.9000000004</v>
      </c>
      <c r="N10" s="886">
        <f t="shared" ca="1" si="3"/>
        <v>3428952.89</v>
      </c>
      <c r="O10" s="886">
        <f t="shared" ca="1" si="1"/>
        <v>56.222914210262161</v>
      </c>
      <c r="P10" s="886">
        <f t="shared" ca="1" si="2"/>
        <v>62.519061419376492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5711553</v>
      </c>
      <c r="M11" s="893">
        <f t="shared" ca="1" si="4"/>
        <v>5097351.9000000004</v>
      </c>
      <c r="N11" s="893">
        <f t="shared" ca="1" si="4"/>
        <v>3041652.89</v>
      </c>
      <c r="O11" s="893">
        <f t="shared" ca="1" si="1"/>
        <v>53.254393157167584</v>
      </c>
      <c r="P11" s="893">
        <f t="shared" ca="1" si="2"/>
        <v>59.671236156954357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5711553</v>
      </c>
      <c r="M13" s="899">
        <f t="shared" ca="1" si="5"/>
        <v>5097351.9000000004</v>
      </c>
      <c r="N13" s="899">
        <f t="shared" ca="1" si="5"/>
        <v>3041652.89</v>
      </c>
      <c r="O13" s="899">
        <f t="shared" ca="1" si="1"/>
        <v>53.254393157167584</v>
      </c>
      <c r="P13" s="899">
        <f t="shared" ca="1" si="2"/>
        <v>59.671236156954357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387300</v>
      </c>
      <c r="M14" s="893">
        <f t="shared" ca="1" si="6"/>
        <v>387300</v>
      </c>
      <c r="N14" s="893">
        <f t="shared" ca="1" si="6"/>
        <v>387300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387300</v>
      </c>
      <c r="M16" s="905">
        <f t="shared" ca="1" si="7"/>
        <v>387300</v>
      </c>
      <c r="N16" s="905">
        <f t="shared" ca="1" si="7"/>
        <v>387300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4165990</v>
      </c>
      <c r="M18" s="879">
        <f t="shared" ca="1" si="8"/>
        <v>3551788.9</v>
      </c>
      <c r="N18" s="879">
        <f t="shared" ca="1" si="8"/>
        <v>2478028.89</v>
      </c>
      <c r="O18" s="879">
        <f t="shared" ref="O18:O26" ca="1" si="9">IF(L18&gt;0,N18*100/L18,0)</f>
        <v>59.482353294174978</v>
      </c>
      <c r="P18" s="879">
        <f t="shared" ref="P18:P26" ca="1" si="10">IF(M18&gt;0,N18*100/M18,0)</f>
        <v>69.768473289614704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4165990</v>
      </c>
      <c r="M20" s="886">
        <f t="shared" ca="1" si="11"/>
        <v>3551788.9</v>
      </c>
      <c r="N20" s="886">
        <f t="shared" ca="1" si="11"/>
        <v>2478028.89</v>
      </c>
      <c r="O20" s="886">
        <f t="shared" ca="1" si="9"/>
        <v>59.482353294174978</v>
      </c>
      <c r="P20" s="886">
        <f t="shared" ca="1" si="10"/>
        <v>69.768473289614704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3778690</v>
      </c>
      <c r="M21" s="893">
        <f t="shared" ca="1" si="12"/>
        <v>3164488.9</v>
      </c>
      <c r="N21" s="893">
        <f t="shared" ca="1" si="12"/>
        <v>2090728.8900000001</v>
      </c>
      <c r="O21" s="893">
        <f t="shared" ca="1" si="9"/>
        <v>55.329463120817003</v>
      </c>
      <c r="P21" s="893">
        <f t="shared" ca="1" si="10"/>
        <v>66.068453897879053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3778690</v>
      </c>
      <c r="M23" s="899">
        <f t="shared" ca="1" si="13"/>
        <v>3164488.9</v>
      </c>
      <c r="N23" s="899">
        <f t="shared" ca="1" si="13"/>
        <v>2090728.8900000001</v>
      </c>
      <c r="O23" s="899">
        <f t="shared" ca="1" si="9"/>
        <v>55.329463120817003</v>
      </c>
      <c r="P23" s="899">
        <f t="shared" ca="1" si="10"/>
        <v>66.068453897879053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387300</v>
      </c>
      <c r="M24" s="893">
        <f t="shared" ca="1" si="14"/>
        <v>387300</v>
      </c>
      <c r="N24" s="893">
        <f t="shared" ca="1" si="14"/>
        <v>387300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387300</v>
      </c>
      <c r="M26" s="905">
        <f t="shared" ca="1" si="15"/>
        <v>387300</v>
      </c>
      <c r="N26" s="905">
        <f t="shared" ca="1" si="15"/>
        <v>387300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1932863</v>
      </c>
      <c r="M28" s="879">
        <f t="shared" ca="1" si="16"/>
        <v>1932863</v>
      </c>
      <c r="N28" s="879">
        <f t="shared" si="16"/>
        <v>950924</v>
      </c>
      <c r="O28" s="879">
        <f t="shared" ref="O28:O37" ca="1" si="17">IF(L28&gt;0,N28*100/L28,0)</f>
        <v>49.197692749046361</v>
      </c>
      <c r="P28" s="879">
        <f t="shared" ref="P28:P37" ca="1" si="18">IF(M28&gt;0,N28*100/M28,0)</f>
        <v>49.197692749046361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1932863</v>
      </c>
      <c r="M30" s="886">
        <f t="shared" ca="1" si="19"/>
        <v>1932863</v>
      </c>
      <c r="N30" s="886">
        <f t="shared" si="19"/>
        <v>950924</v>
      </c>
      <c r="O30" s="886">
        <f t="shared" ca="1" si="17"/>
        <v>49.197692749046361</v>
      </c>
      <c r="P30" s="886">
        <f t="shared" ca="1" si="18"/>
        <v>49.197692749046361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1932863</v>
      </c>
      <c r="M31" s="893">
        <f t="shared" ca="1" si="20"/>
        <v>1932863</v>
      </c>
      <c r="N31" s="893">
        <f t="shared" si="20"/>
        <v>950924</v>
      </c>
      <c r="O31" s="893">
        <f t="shared" ca="1" si="17"/>
        <v>49.197692749046361</v>
      </c>
      <c r="P31" s="893">
        <f t="shared" ca="1" si="18"/>
        <v>49.197692749046361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1932863</v>
      </c>
      <c r="M33" s="899">
        <f t="shared" ca="1" si="21"/>
        <v>1932863</v>
      </c>
      <c r="N33" s="899">
        <f t="shared" si="21"/>
        <v>950924</v>
      </c>
      <c r="O33" s="899">
        <f t="shared" ca="1" si="17"/>
        <v>49.197692749046361</v>
      </c>
      <c r="P33" s="899">
        <f t="shared" ca="1" si="18"/>
        <v>49.197692749046361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4165990</v>
      </c>
      <c r="M37" s="912">
        <f t="shared" ca="1" si="24"/>
        <v>3551788.9</v>
      </c>
      <c r="N37" s="912">
        <f t="shared" ca="1" si="24"/>
        <v>2478028.89</v>
      </c>
      <c r="O37" s="912">
        <f t="shared" ca="1" si="17"/>
        <v>59.482353294174978</v>
      </c>
      <c r="P37" s="912">
        <f t="shared" ca="1" si="18"/>
        <v>69.768473289614704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632700</v>
      </c>
      <c r="M41" s="938">
        <f t="shared" ca="1" si="25"/>
        <v>643858.9</v>
      </c>
      <c r="N41" s="938">
        <f t="shared" ca="1" si="25"/>
        <v>382307</v>
      </c>
      <c r="O41" s="938">
        <f t="shared" ref="O41:O49" ca="1" si="26">IF(L41&gt;0,N41*100/L41,0)</f>
        <v>60.424687845740479</v>
      </c>
      <c r="P41" s="938">
        <f t="shared" ref="P41:P49" ca="1" si="27">IF(M41&gt;0,N41*100/M41,0)</f>
        <v>59.377450556325307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632700</v>
      </c>
      <c r="M43" s="944">
        <f t="shared" ca="1" si="28"/>
        <v>643858.9</v>
      </c>
      <c r="N43" s="944">
        <f t="shared" ca="1" si="28"/>
        <v>382307</v>
      </c>
      <c r="O43" s="944">
        <f t="shared" ca="1" si="26"/>
        <v>60.424687845740479</v>
      </c>
      <c r="P43" s="944">
        <f t="shared" ca="1" si="27"/>
        <v>59.377450556325307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632700</v>
      </c>
      <c r="M44" s="893">
        <f t="shared" ca="1" si="29"/>
        <v>643858.9</v>
      </c>
      <c r="N44" s="893">
        <f t="shared" ca="1" si="29"/>
        <v>382307</v>
      </c>
      <c r="O44" s="893">
        <f t="shared" ca="1" si="26"/>
        <v>60.424687845740479</v>
      </c>
      <c r="P44" s="893">
        <f t="shared" ca="1" si="27"/>
        <v>59.377450556325307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IFERROR(__xludf.DUMMYFUNCTION("IMPORTRANGE(""https://docs.google.com/spreadsheets/d/1MeEWN-I1oV_STSDYn1IFDPWt_1FKiwhDph83XaGc0o0/edit?usp=sharing"",""งบพรบ!M41"")"),632700)</f>
        <v>632700</v>
      </c>
      <c r="M46" s="899">
        <f ca="1">IFERROR(__xludf.DUMMYFUNCTION("IMPORTRANGE(""https://docs.google.com/spreadsheets/d/1MeEWN-I1oV_STSDYn1IFDPWt_1FKiwhDph83XaGc0o0/edit?usp=sharing"",""งบพรบ!R41"")"),643858.9)</f>
        <v>643858.9</v>
      </c>
      <c r="N46" s="899">
        <f ca="1">IFERROR(__xludf.DUMMYFUNCTION("IMPORTRANGE(""https://docs.google.com/spreadsheets/d/1MeEWN-I1oV_STSDYn1IFDPWt_1FKiwhDph83XaGc0o0/edit?usp=sharing"",""งบพรบ!T41"")"),382307)</f>
        <v>382307</v>
      </c>
      <c r="O46" s="899">
        <f t="shared" ca="1" si="26"/>
        <v>60.424687845740479</v>
      </c>
      <c r="P46" s="899">
        <f t="shared" ca="1" si="27"/>
        <v>59.377450556325307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IFERROR(__xludf.DUMMYFUNCTION("IMPORTRANGE(""https://docs.google.com/spreadsheets/d/1MeEWN-I1oV_STSDYn1IFDPWt_1FKiwhDph83XaGc0o0/edit?usp=sharing"",""งบพรบ!P41"")"),0)</f>
        <v>0</v>
      </c>
      <c r="M49" s="905">
        <f ca="1">IFERROR(__xludf.DUMMYFUNCTION("IMPORTRANGE(""https://docs.google.com/spreadsheets/d/1MeEWN-I1oV_STSDYn1IFDPWt_1FKiwhDph83XaGc0o0/edit?usp=sharing"",""งบพรบ!S41"")"),0)</f>
        <v>0</v>
      </c>
      <c r="N49" s="905">
        <f ca="1">IFERROR(__xludf.DUMMYFUNCTION("IMPORTRANGE(""https://docs.google.com/spreadsheets/d/1MeEWN-I1oV_STSDYn1IFDPWt_1FKiwhDph83XaGc0o0/edit?usp=sharing"",""งบพรบ!U41"")"),0)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1011300</v>
      </c>
      <c r="M53" s="968">
        <f t="shared" ca="1" si="31"/>
        <v>942950</v>
      </c>
      <c r="N53" s="968">
        <f t="shared" ca="1" si="31"/>
        <v>715633.89</v>
      </c>
      <c r="O53" s="968">
        <f t="shared" ref="O53:O61" ca="1" si="32">IF(L53&gt;0,N53*100/L53,0)</f>
        <v>70.763758528626525</v>
      </c>
      <c r="P53" s="968">
        <f t="shared" ref="P53:P61" ca="1" si="33">IF(M53&gt;0,N53*100/M53,0)</f>
        <v>75.893089771461902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1011300</v>
      </c>
      <c r="M55" s="974">
        <f t="shared" ca="1" si="34"/>
        <v>942950</v>
      </c>
      <c r="N55" s="974">
        <f t="shared" ca="1" si="34"/>
        <v>715633.89</v>
      </c>
      <c r="O55" s="974">
        <f t="shared" ca="1" si="32"/>
        <v>70.763758528626525</v>
      </c>
      <c r="P55" s="974">
        <f t="shared" ca="1" si="33"/>
        <v>75.893089771461902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845400</v>
      </c>
      <c r="M56" s="893">
        <f t="shared" ca="1" si="35"/>
        <v>777050</v>
      </c>
      <c r="N56" s="893">
        <f t="shared" ca="1" si="35"/>
        <v>549733.89</v>
      </c>
      <c r="O56" s="893">
        <f t="shared" ca="1" si="32"/>
        <v>65.026483321504614</v>
      </c>
      <c r="P56" s="893">
        <f t="shared" ca="1" si="33"/>
        <v>70.746269866803942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IFERROR(__xludf.DUMMYFUNCTION("IMPORTRANGE(""https://docs.google.com/spreadsheets/d/1MeEWN-I1oV_STSDYn1IFDPWt_1FKiwhDph83XaGc0o0/edit?usp=sharing"",""งบพรบ!W41"")"),845400)</f>
        <v>845400</v>
      </c>
      <c r="M58" s="899">
        <f ca="1">IFERROR(__xludf.DUMMYFUNCTION("IMPORTRANGE(""https://docs.google.com/spreadsheets/d/1MeEWN-I1oV_STSDYn1IFDPWt_1FKiwhDph83XaGc0o0/edit?usp=sharing"",""งบพรบ!AB41"")"),777050)</f>
        <v>777050</v>
      </c>
      <c r="N58" s="899">
        <f ca="1">IFERROR(__xludf.DUMMYFUNCTION("IMPORTRANGE(""https://docs.google.com/spreadsheets/d/1MeEWN-I1oV_STSDYn1IFDPWt_1FKiwhDph83XaGc0o0/edit?usp=sharing"",""งบพรบ!AD41"")"),549733.89)</f>
        <v>549733.89</v>
      </c>
      <c r="O58" s="899">
        <f t="shared" ca="1" si="32"/>
        <v>65.026483321504614</v>
      </c>
      <c r="P58" s="899">
        <f t="shared" ca="1" si="33"/>
        <v>70.746269866803942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165900</v>
      </c>
      <c r="M59" s="893">
        <f t="shared" ca="1" si="36"/>
        <v>165900</v>
      </c>
      <c r="N59" s="893">
        <f t="shared" ca="1" si="36"/>
        <v>165900</v>
      </c>
      <c r="O59" s="893">
        <f t="shared" ca="1" si="32"/>
        <v>100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IFERROR(__xludf.DUMMYFUNCTION("IMPORTRANGE(""https://docs.google.com/spreadsheets/d/1MeEWN-I1oV_STSDYn1IFDPWt_1FKiwhDph83XaGc0o0/edit?usp=sharing"",""งบพรบ!Z41"")"),165900)</f>
        <v>165900</v>
      </c>
      <c r="M61" s="905">
        <f ca="1">IFERROR(__xludf.DUMMYFUNCTION("IMPORTRANGE(""https://docs.google.com/spreadsheets/d/1MeEWN-I1oV_STSDYn1IFDPWt_1FKiwhDph83XaGc0o0/edit?usp=sharing"",""งบพรบ!AC41"")"),165900)</f>
        <v>165900</v>
      </c>
      <c r="N61" s="905">
        <f ca="1">IFERROR(__xludf.DUMMYFUNCTION("IMPORTRANGE(""https://docs.google.com/spreadsheets/d/1MeEWN-I1oV_STSDYn1IFDPWt_1FKiwhDph83XaGc0o0/edit?usp=sharing"",""งบพรบ!AE41"")"),165900)</f>
        <v>165900</v>
      </c>
      <c r="O61" s="905">
        <f t="shared" ca="1" si="32"/>
        <v>100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40</v>
      </c>
      <c r="J65" s="994">
        <f t="shared" si="37"/>
        <v>40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697000</v>
      </c>
      <c r="M66" s="1004">
        <f t="shared" ca="1" si="39"/>
        <v>517820</v>
      </c>
      <c r="N66" s="1004">
        <f t="shared" ca="1" si="39"/>
        <v>375332</v>
      </c>
      <c r="O66" s="1004">
        <f t="shared" ref="O66:O74" ca="1" si="40">IF(L66&gt;0,N66*100/L66,0)</f>
        <v>53.849641319942613</v>
      </c>
      <c r="P66" s="1004">
        <f t="shared" ref="P66:P74" ca="1" si="41">IF(M66&gt;0,N66*100/M66,0)</f>
        <v>72.483102236298322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697000</v>
      </c>
      <c r="M68" s="899">
        <f t="shared" ca="1" si="42"/>
        <v>517820</v>
      </c>
      <c r="N68" s="899">
        <f t="shared" ca="1" si="42"/>
        <v>375332</v>
      </c>
      <c r="O68" s="899">
        <f t="shared" ca="1" si="40"/>
        <v>53.849641319942613</v>
      </c>
      <c r="P68" s="899">
        <f t="shared" ca="1" si="41"/>
        <v>72.483102236298322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697000</v>
      </c>
      <c r="M69" s="893">
        <f t="shared" ca="1" si="43"/>
        <v>517820</v>
      </c>
      <c r="N69" s="893">
        <f t="shared" ca="1" si="43"/>
        <v>375332</v>
      </c>
      <c r="O69" s="893">
        <f t="shared" ca="1" si="40"/>
        <v>53.849641319942613</v>
      </c>
      <c r="P69" s="893">
        <f t="shared" ca="1" si="41"/>
        <v>72.483102236298322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IFERROR(__xludf.DUMMYFUNCTION("IMPORTRANGE(""https://docs.google.com/spreadsheets/d/1MeEWN-I1oV_STSDYn1IFDPWt_1FKiwhDph83XaGc0o0/edit?usp=sharing"",""งบพรบ!AG41"")"),697000)</f>
        <v>697000</v>
      </c>
      <c r="M71" s="899">
        <f ca="1">IFERROR(__xludf.DUMMYFUNCTION("IMPORTRANGE(""https://docs.google.com/spreadsheets/d/1MeEWN-I1oV_STSDYn1IFDPWt_1FKiwhDph83XaGc0o0/edit?usp=sharing"",""งบพรบ!AL41"")"),517820)</f>
        <v>517820</v>
      </c>
      <c r="N71" s="899">
        <f ca="1">IFERROR(__xludf.DUMMYFUNCTION("IMPORTRANGE(""https://docs.google.com/spreadsheets/d/1MeEWN-I1oV_STSDYn1IFDPWt_1FKiwhDph83XaGc0o0/edit?usp=sharing"",""งบพรบ!AN41"")"),375332)</f>
        <v>375332</v>
      </c>
      <c r="O71" s="899">
        <f t="shared" ca="1" si="40"/>
        <v>53.849641319942613</v>
      </c>
      <c r="P71" s="899">
        <f t="shared" ca="1" si="41"/>
        <v>72.483102236298322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IFERROR(__xludf.DUMMYFUNCTION("IMPORTRANGE(""https://docs.google.com/spreadsheets/d/1MeEWN-I1oV_STSDYn1IFDPWt_1FKiwhDph83XaGc0o0/edit?usp=sharing"",""งบพรบ!AJ41"")"),0)</f>
        <v>0</v>
      </c>
      <c r="M74" s="899">
        <f ca="1">IFERROR(__xludf.DUMMYFUNCTION("IMPORTRANGE(""https://docs.google.com/spreadsheets/d/1MeEWN-I1oV_STSDYn1IFDPWt_1FKiwhDph83XaGc0o0/edit?usp=sharing"",""งบพรบ!AM41"")"),0)</f>
        <v>0</v>
      </c>
      <c r="N74" s="899">
        <f ca="1">IFERROR(__xludf.DUMMYFUNCTION("IMPORTRANGE(""https://docs.google.com/spreadsheets/d/1MeEWN-I1oV_STSDYn1IFDPWt_1FKiwhDph83XaGc0o0/edit?usp=sharing"",""งบพรบ!AO41"")"),0)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40</v>
      </c>
      <c r="J77" s="892">
        <f t="shared" si="45"/>
        <v>40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IFERROR(__xludf.DUMMYFUNCTION("IMPORTRANGE(""https://docs.google.com/spreadsheets/d/1QqKyyYR6Q21VydFLVH3TRQUabQu_ym0Zz7PgGX0-kHA/edit?usp=sharing"",""แผน!H41"")"),0)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IFERROR(__xludf.DUMMYFUNCTION("IMPORTRANGE(""https://docs.google.com/spreadsheets/d/1QqKyyYR6Q21VydFLVH3TRQUabQu_ym0Zz7PgGX0-kHA/edit?usp=sharing"",""แผน!I41"")"),0)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IFERROR(__xludf.DUMMYFUNCTION("IMPORTRANGE(""https://docs.google.com/spreadsheets/d/1QqKyyYR6Q21VydFLVH3TRQUabQu_ym0Zz7PgGX0-kHA/edit?usp=sharing"",""แผน!F41"")"),1)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IFERROR(__xludf.DUMMYFUNCTION("IMPORTRANGE(""https://docs.google.com/spreadsheets/d/1QqKyyYR6Q21VydFLVH3TRQUabQu_ym0Zz7PgGX0-kHA/edit?usp=sharing"",""แผน!G41"")"),40)</f>
        <v>40</v>
      </c>
      <c r="J81" s="1024">
        <v>40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IFERROR(__xludf.DUMMYFUNCTION("IMPORTRANGE(""https://docs.google.com/spreadsheets/d/1QqKyyYR6Q21VydFLVH3TRQUabQu_ym0Zz7PgGX0-kHA/edit?usp=sharing"",""แผน!D41"")"),0)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IFERROR(__xludf.DUMMYFUNCTION("IMPORTRANGE(""https://docs.google.com/spreadsheets/d/1QqKyyYR6Q21VydFLVH3TRQUabQu_ym0Zz7PgGX0-kHA/edit?usp=sharing"",""แผน!E41"")"),0)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IFERROR(__xludf.DUMMYFUNCTION("IMPORTRANGE(""https://docs.google.com/spreadsheets/d/1QqKyyYR6Q21VydFLVH3TRQUabQu_ym0Zz7PgGX0-kHA/edit?usp=sharing"",""แผน!J41"")"),1)</f>
        <v>1</v>
      </c>
      <c r="J84" s="1024">
        <v>1</v>
      </c>
      <c r="K84" s="1010">
        <f t="shared" ca="1" si="46"/>
        <v>100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60</v>
      </c>
      <c r="J86" s="994">
        <f t="shared" si="47"/>
        <v>60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20</v>
      </c>
      <c r="J87" s="994">
        <f t="shared" si="47"/>
        <v>20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111880</v>
      </c>
      <c r="M88" s="1004">
        <f t="shared" ca="1" si="49"/>
        <v>74430</v>
      </c>
      <c r="N88" s="1004">
        <f t="shared" ca="1" si="49"/>
        <v>70520</v>
      </c>
      <c r="O88" s="1004">
        <f t="shared" ref="O88:O96" ca="1" si="50">IF(L88&gt;0,N88*100/L88,0)</f>
        <v>63.031819806935999</v>
      </c>
      <c r="P88" s="1004">
        <f t="shared" ref="P88:P96" ca="1" si="51">IF(M88&gt;0,N88*100/M88,0)</f>
        <v>94.746741905145768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111880</v>
      </c>
      <c r="M90" s="899">
        <f t="shared" ca="1" si="52"/>
        <v>74430</v>
      </c>
      <c r="N90" s="899">
        <f t="shared" ca="1" si="52"/>
        <v>70520</v>
      </c>
      <c r="O90" s="899">
        <f t="shared" ca="1" si="50"/>
        <v>63.031819806935999</v>
      </c>
      <c r="P90" s="899">
        <f t="shared" ca="1" si="51"/>
        <v>94.746741905145768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111880</v>
      </c>
      <c r="M91" s="893">
        <f t="shared" ca="1" si="53"/>
        <v>74430</v>
      </c>
      <c r="N91" s="893">
        <f t="shared" ca="1" si="53"/>
        <v>70520</v>
      </c>
      <c r="O91" s="893">
        <f t="shared" ca="1" si="50"/>
        <v>63.031819806935999</v>
      </c>
      <c r="P91" s="893">
        <f t="shared" ca="1" si="51"/>
        <v>94.746741905145768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IFERROR(__xludf.DUMMYFUNCTION("IMPORTRANGE(""https://docs.google.com/spreadsheets/d/1MeEWN-I1oV_STSDYn1IFDPWt_1FKiwhDph83XaGc0o0/edit?usp=sharing"",""งบพรบ!AQ41"")"),111880)</f>
        <v>111880</v>
      </c>
      <c r="M93" s="899">
        <f ca="1">IFERROR(__xludf.DUMMYFUNCTION("IMPORTRANGE(""https://docs.google.com/spreadsheets/d/1MeEWN-I1oV_STSDYn1IFDPWt_1FKiwhDph83XaGc0o0/edit?usp=sharing"",""งบพรบ!AV41"")"),74430)</f>
        <v>74430</v>
      </c>
      <c r="N93" s="899">
        <f ca="1">IFERROR(__xludf.DUMMYFUNCTION("IMPORTRANGE(""https://docs.google.com/spreadsheets/d/1MeEWN-I1oV_STSDYn1IFDPWt_1FKiwhDph83XaGc0o0/edit?usp=sharing"",""งบพรบ!AX41"")"),70520)</f>
        <v>70520</v>
      </c>
      <c r="O93" s="899">
        <f t="shared" ca="1" si="50"/>
        <v>63.031819806935999</v>
      </c>
      <c r="P93" s="899">
        <f t="shared" ca="1" si="51"/>
        <v>94.746741905145768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IFERROR(__xludf.DUMMYFUNCTION("IMPORTRANGE(""https://docs.google.com/spreadsheets/d/1MeEWN-I1oV_STSDYn1IFDPWt_1FKiwhDph83XaGc0o0/edit?usp=sharing"",""งบพรบ!AT41"")"),0)</f>
        <v>0</v>
      </c>
      <c r="M96" s="899">
        <f ca="1">IFERROR(__xludf.DUMMYFUNCTION("IMPORTRANGE(""https://docs.google.com/spreadsheets/d/1MeEWN-I1oV_STSDYn1IFDPWt_1FKiwhDph83XaGc0o0/edit?usp=sharing"",""งบพรบ!AW41"")"),0)</f>
        <v>0</v>
      </c>
      <c r="N96" s="899">
        <f ca="1">IFERROR(__xludf.DUMMYFUNCTION("IMPORTRANGE(""https://docs.google.com/spreadsheets/d/1MeEWN-I1oV_STSDYn1IFDPWt_1FKiwhDph83XaGc0o0/edit?usp=sharing"",""งบพรบ!AY41"")"),0)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IFERROR(__xludf.DUMMYFUNCTION("IMPORTRANGE(""https://docs.google.com/spreadsheets/d/1QqKyyYR6Q21VydFLVH3TRQUabQu_ym0Zz7PgGX0-kHA/edit?usp=sharing"",""แผน!K41"")"),60)</f>
        <v>60</v>
      </c>
      <c r="J98" s="892">
        <f>J102</f>
        <v>60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IFERROR(__xludf.DUMMYFUNCTION("IMPORTRANGE(""https://docs.google.com/spreadsheets/d/1QqKyyYR6Q21VydFLVH3TRQUabQu_ym0Zz7PgGX0-kHA/edit?usp=sharing"",""แผน!L41"")"),20)</f>
        <v>20</v>
      </c>
      <c r="J99" s="892">
        <f>J104</f>
        <v>20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IFERROR(__xludf.DUMMYFUNCTION("IMPORTRANGE(""https://docs.google.com/spreadsheets/d/1QqKyyYR6Q21VydFLVH3TRQUabQu_ym0Zz7PgGX0-kHA/edit?usp=sharing"",""แผน!M41"")"),2)</f>
        <v>2</v>
      </c>
      <c r="J100" s="892">
        <f>J107+J110</f>
        <v>1</v>
      </c>
      <c r="K100" s="893">
        <f t="shared" ca="1" si="55"/>
        <v>50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IFERROR(__xludf.DUMMYFUNCTION("IMPORTRANGE(""https://docs.google.com/spreadsheets/d/1QqKyyYR6Q21VydFLVH3TRQUabQu_ym0Zz7PgGX0-kHA/edit?usp=sharing"",""แผน!N41"")"),60)</f>
        <v>60</v>
      </c>
      <c r="J102" s="1024">
        <v>60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IFERROR(__xludf.DUMMYFUNCTION("IMPORTRANGE(""https://docs.google.com/spreadsheets/d/1QqKyyYR6Q21VydFLVH3TRQUabQu_ym0Zz7PgGX0-kHA/edit?usp=sharing"",""แผน!O41"")"),20)</f>
        <v>20</v>
      </c>
      <c r="J103" s="1024">
        <v>20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IFERROR(__xludf.DUMMYFUNCTION("IMPORTRANGE(""https://docs.google.com/spreadsheets/d/1QqKyyYR6Q21VydFLVH3TRQUabQu_ym0Zz7PgGX0-kHA/edit?usp=sharing"",""แผน!O41"")"),20)</f>
        <v>20</v>
      </c>
      <c r="J104" s="1024">
        <v>20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IFERROR(__xludf.DUMMYFUNCTION("IMPORTRANGE(""https://docs.google.com/spreadsheets/d/1QqKyyYR6Q21VydFLVH3TRQUabQu_ym0Zz7PgGX0-kHA/edit?usp=sharing"",""แผน!P41"")"),1)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IFERROR(__xludf.DUMMYFUNCTION("IMPORTRANGE(""https://docs.google.com/spreadsheets/d/1QqKyyYR6Q21VydFLVH3TRQUabQu_ym0Zz7PgGX0-kHA/edit?usp=sharing"",""แผน!P41"")"),1)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IFERROR(__xludf.DUMMYFUNCTION("IMPORTRANGE(""https://docs.google.com/spreadsheets/d/1QqKyyYR6Q21VydFLVH3TRQUabQu_ym0Zz7PgGX0-kHA/edit?usp=sharing"",""แผน!Q41"")"),1)</f>
        <v>1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IFERROR(__xludf.DUMMYFUNCTION("IMPORTRANGE(""https://docs.google.com/spreadsheets/d/1QqKyyYR6Q21VydFLVH3TRQUabQu_ym0Zz7PgGX0-kHA/edit?usp=sharing"",""แผน!Q41"")"),1)</f>
        <v>1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IFERROR(__xludf.DUMMYFUNCTION("IMPORTRANGE(""https://docs.google.com/spreadsheets/d/1QqKyyYR6Q21VydFLVH3TRQUabQu_ym0Zz7PgGX0-kHA/edit?usp=sharing"",""แผน!R41"")"),20)</f>
        <v>20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IFERROR(__xludf.DUMMYFUNCTION("IMPORTRANGE(""https://docs.google.com/spreadsheets/d/1QqKyyYR6Q21VydFLVH3TRQUabQu_ym0Zz7PgGX0-kHA/edit?usp=sharing"",""แผน!R41"")"),20)</f>
        <v>20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IFERROR(__xludf.DUMMYFUNCTION("IMPORTRANGE(""https://docs.google.com/spreadsheets/d/1QqKyyYR6Q21VydFLVH3TRQUabQu_ym0Zz7PgGX0-kHA/edit?usp=sharing"",""แผน!R41"")"),20)</f>
        <v>20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IFERROR(__xludf.DUMMYFUNCTION("IMPORTRANGE(""https://docs.google.com/spreadsheets/d/1QqKyyYR6Q21VydFLVH3TRQUabQu_ym0Zz7PgGX0-kHA/edit?usp=sharing"",""แผน!S41"")"),1)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IFERROR(__xludf.DUMMYFUNCTION("IMPORTRANGE(""https://docs.google.com/spreadsheets/d/1QqKyyYR6Q21VydFLVH3TRQUabQu_ym0Zz7PgGX0-kHA/edit?usp=sharing"",""แผน!T41"")"),1)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>
      <c r="A118" s="989"/>
      <c r="B118" s="990" t="s">
        <v>65</v>
      </c>
      <c r="C118" s="1038"/>
      <c r="D118" s="992"/>
      <c r="E118" s="991"/>
      <c r="F118" s="991"/>
      <c r="G118" s="993"/>
      <c r="H118" s="205" t="s">
        <v>66</v>
      </c>
      <c r="I118" s="1039">
        <v>1</v>
      </c>
      <c r="J118" s="1039">
        <f>J440</f>
        <v>1</v>
      </c>
      <c r="K118" s="996">
        <f>IF(I118&gt;0,J118*100/I118,0)</f>
        <v>100</v>
      </c>
      <c r="L118" s="996"/>
      <c r="M118" s="996"/>
      <c r="N118" s="996"/>
      <c r="O118" s="996"/>
      <c r="P118" s="996"/>
    </row>
    <row r="119" spans="1:26" ht="19.5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26800</v>
      </c>
      <c r="M119" s="1004">
        <f t="shared" ca="1" si="60"/>
        <v>26800</v>
      </c>
      <c r="N119" s="1004">
        <f t="shared" ca="1" si="60"/>
        <v>26800</v>
      </c>
      <c r="O119" s="1004">
        <f t="shared" ref="O119:O127" ca="1" si="61">IF(L119&gt;0,N119*100/L119,0)</f>
        <v>100</v>
      </c>
      <c r="P119" s="1004">
        <f t="shared" ref="P119:P127" ca="1" si="62">IF(M119&gt;0,N119*100/M119,0)</f>
        <v>100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26800</v>
      </c>
      <c r="M121" s="899">
        <f t="shared" ca="1" si="63"/>
        <v>26800</v>
      </c>
      <c r="N121" s="899">
        <f t="shared" ca="1" si="63"/>
        <v>26800</v>
      </c>
      <c r="O121" s="899">
        <f t="shared" ca="1" si="61"/>
        <v>100</v>
      </c>
      <c r="P121" s="899">
        <f t="shared" ca="1" si="62"/>
        <v>100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IFERROR(__xludf.DUMMYFUNCTION("IMPORTRANGE(""https://docs.google.com/spreadsheets/d/1MeEWN-I1oV_STSDYn1IFDPWt_1FKiwhDph83XaGc0o0/edit?usp=sharing"",""งบพรบ!BA41"")"),0)</f>
        <v>0</v>
      </c>
      <c r="M124" s="899">
        <f ca="1">IFERROR(__xludf.DUMMYFUNCTION("IMPORTRANGE(""https://docs.google.com/spreadsheets/d/1MeEWN-I1oV_STSDYn1IFDPWt_1FKiwhDph83XaGc0o0/edit?usp=sharing"",""งบพรบ!BF41"")"),0)</f>
        <v>0</v>
      </c>
      <c r="N124" s="899">
        <f ca="1">IFERROR(__xludf.DUMMYFUNCTION("IMPORTRANGE(""https://docs.google.com/spreadsheets/d/1MeEWN-I1oV_STSDYn1IFDPWt_1FKiwhDph83XaGc0o0/edit?usp=sharing"",""งบพรบ!BH41"")"),0)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26800</v>
      </c>
      <c r="M125" s="893">
        <f t="shared" ca="1" si="65"/>
        <v>26800</v>
      </c>
      <c r="N125" s="893">
        <f t="shared" ca="1" si="65"/>
        <v>26800</v>
      </c>
      <c r="O125" s="893">
        <f t="shared" ca="1" si="61"/>
        <v>100</v>
      </c>
      <c r="P125" s="893">
        <f t="shared" ca="1" si="62"/>
        <v>100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IFERROR(__xludf.DUMMYFUNCTION("IMPORTRANGE(""https://docs.google.com/spreadsheets/d/1MeEWN-I1oV_STSDYn1IFDPWt_1FKiwhDph83XaGc0o0/edit?usp=sharing"",""งบพรบ!BD41"")"),26800)</f>
        <v>26800</v>
      </c>
      <c r="M127" s="899">
        <f ca="1">IFERROR(__xludf.DUMMYFUNCTION("IMPORTRANGE(""https://docs.google.com/spreadsheets/d/1MeEWN-I1oV_STSDYn1IFDPWt_1FKiwhDph83XaGc0o0/edit?usp=sharing"",""งบพรบ!BG41"")"),26800)</f>
        <v>26800</v>
      </c>
      <c r="N127" s="899">
        <f ca="1">IFERROR(__xludf.DUMMYFUNCTION("IMPORTRANGE(""https://docs.google.com/spreadsheets/d/1MeEWN-I1oV_STSDYn1IFDPWt_1FKiwhDph83XaGc0o0/edit?usp=sharing"",""งบพรบ!BI41"")"),26800)</f>
        <v>26800</v>
      </c>
      <c r="O127" s="899">
        <f t="shared" ca="1" si="61"/>
        <v>100</v>
      </c>
      <c r="P127" s="899">
        <f t="shared" ca="1" si="62"/>
        <v>100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1</v>
      </c>
      <c r="J130" s="994">
        <f t="shared" si="66"/>
        <v>1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10</v>
      </c>
      <c r="J131" s="994">
        <f t="shared" ca="1" si="68"/>
        <v>10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489055</v>
      </c>
      <c r="M132" s="1004">
        <f t="shared" ca="1" si="69"/>
        <v>399950</v>
      </c>
      <c r="N132" s="1004">
        <f t="shared" ca="1" si="69"/>
        <v>327377</v>
      </c>
      <c r="O132" s="1004">
        <f t="shared" ref="O132:O140" ca="1" si="70">IF(L132&gt;0,N132*100/L132,0)</f>
        <v>66.940732637433413</v>
      </c>
      <c r="P132" s="1004">
        <f t="shared" ref="P132:P140" ca="1" si="71">IF(M132&gt;0,N132*100/M132,0)</f>
        <v>81.854481810226275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489055</v>
      </c>
      <c r="M134" s="899">
        <f t="shared" ca="1" si="72"/>
        <v>399950</v>
      </c>
      <c r="N134" s="899">
        <f t="shared" ca="1" si="72"/>
        <v>327377</v>
      </c>
      <c r="O134" s="899">
        <f t="shared" ca="1" si="70"/>
        <v>66.940732637433413</v>
      </c>
      <c r="P134" s="899">
        <f t="shared" ca="1" si="71"/>
        <v>81.854481810226275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386055</v>
      </c>
      <c r="M135" s="893">
        <f t="shared" ca="1" si="73"/>
        <v>296950</v>
      </c>
      <c r="N135" s="893">
        <f t="shared" ca="1" si="73"/>
        <v>224377</v>
      </c>
      <c r="O135" s="893">
        <f t="shared" ca="1" si="70"/>
        <v>58.120475061843521</v>
      </c>
      <c r="P135" s="893">
        <f t="shared" ca="1" si="71"/>
        <v>75.560532076107094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IFERROR(__xludf.DUMMYFUNCTION("IMPORTRANGE(""https://docs.google.com/spreadsheets/d/1MeEWN-I1oV_STSDYn1IFDPWt_1FKiwhDph83XaGc0o0/edit?usp=sharing"",""งบพรบ!BK41"")"),386055)</f>
        <v>386055</v>
      </c>
      <c r="M137" s="899">
        <f ca="1">IFERROR(__xludf.DUMMYFUNCTION("IMPORTRANGE(""https://docs.google.com/spreadsheets/d/1MeEWN-I1oV_STSDYn1IFDPWt_1FKiwhDph83XaGc0o0/edit?usp=sharing"",""งบพรบ!BP41"")"),296950)</f>
        <v>296950</v>
      </c>
      <c r="N137" s="899">
        <f ca="1">IFERROR(__xludf.DUMMYFUNCTION("IMPORTRANGE(""https://docs.google.com/spreadsheets/d/1MeEWN-I1oV_STSDYn1IFDPWt_1FKiwhDph83XaGc0o0/edit?usp=sharing"",""งบพรบ!BR41"")"),224377)</f>
        <v>224377</v>
      </c>
      <c r="O137" s="899">
        <f t="shared" ca="1" si="70"/>
        <v>58.120475061843521</v>
      </c>
      <c r="P137" s="899">
        <f t="shared" ca="1" si="71"/>
        <v>75.560532076107094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103000</v>
      </c>
      <c r="M138" s="893">
        <f t="shared" ca="1" si="74"/>
        <v>103000</v>
      </c>
      <c r="N138" s="893">
        <f t="shared" ca="1" si="74"/>
        <v>103000</v>
      </c>
      <c r="O138" s="893">
        <f t="shared" ca="1" si="70"/>
        <v>100</v>
      </c>
      <c r="P138" s="893">
        <f t="shared" ca="1" si="71"/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IFERROR(__xludf.DUMMYFUNCTION("IMPORTRANGE(""https://docs.google.com/spreadsheets/d/1MeEWN-I1oV_STSDYn1IFDPWt_1FKiwhDph83XaGc0o0/edit?usp=sharing"",""งบพรบ!BN41"")"),103000)</f>
        <v>103000</v>
      </c>
      <c r="M140" s="899">
        <f ca="1">IFERROR(__xludf.DUMMYFUNCTION("IMPORTRANGE(""https://docs.google.com/spreadsheets/d/1MeEWN-I1oV_STSDYn1IFDPWt_1FKiwhDph83XaGc0o0/edit?usp=sharing"",""งบพรบ!BQ41"")"),103000)</f>
        <v>103000</v>
      </c>
      <c r="N140" s="899">
        <f ca="1">IFERROR(__xludf.DUMMYFUNCTION("IMPORTRANGE(""https://docs.google.com/spreadsheets/d/1MeEWN-I1oV_STSDYn1IFDPWt_1FKiwhDph83XaGc0o0/edit?usp=sharing"",""งบพรบ!BS41"")"),103000)</f>
        <v>103000</v>
      </c>
      <c r="O140" s="899">
        <f t="shared" ca="1" si="70"/>
        <v>100</v>
      </c>
      <c r="P140" s="899">
        <f t="shared" ca="1" si="71"/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10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10</v>
      </c>
      <c r="J143" s="892">
        <f ca="1">IF(AND(J144&gt;=I144,J145&gt;=I145),J145,0)</f>
        <v>10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IFERROR(__xludf.DUMMYFUNCTION("IMPORTRANGE(""https://docs.google.com/spreadsheets/d/1QqKyyYR6Q21VydFLVH3TRQUabQu_ym0Zz7PgGX0-kHA/edit?usp=sharing"",""แผน!U41"")"),5)</f>
        <v>5</v>
      </c>
      <c r="J144" s="1024">
        <v>10</v>
      </c>
      <c r="K144" s="893">
        <f t="shared" ca="1" si="75"/>
        <v>200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IFERROR(__xludf.DUMMYFUNCTION("IMPORTRANGE(""https://docs.google.com/spreadsheets/d/1QqKyyYR6Q21VydFLVH3TRQUabQu_ym0Zz7PgGX0-kHA/edit?usp=sharing"",""แผน!V41"")"),10)</f>
        <v>10</v>
      </c>
      <c r="J145" s="1024">
        <v>10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IFERROR(__xludf.DUMMYFUNCTION("IMPORTRANGE(""https://docs.google.com/spreadsheets/d/1QqKyyYR6Q21VydFLVH3TRQUabQu_ym0Zz7PgGX0-kHA/edit?usp=sharing"",""แผน!W41"")"),1)</f>
        <v>1</v>
      </c>
      <c r="J146" s="1024">
        <v>1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7840</v>
      </c>
      <c r="N149" s="1004">
        <f t="shared" ca="1" si="77"/>
        <v>2194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27.98469387755102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7840</v>
      </c>
      <c r="N151" s="899">
        <f t="shared" ca="1" si="80"/>
        <v>2194</v>
      </c>
      <c r="O151" s="899">
        <f t="shared" ca="1" si="78"/>
        <v>0</v>
      </c>
      <c r="P151" s="899">
        <f t="shared" ca="1" si="79"/>
        <v>27.98469387755102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7840</v>
      </c>
      <c r="N152" s="893">
        <f t="shared" ca="1" si="81"/>
        <v>2194</v>
      </c>
      <c r="O152" s="893">
        <f t="shared" ca="1" si="78"/>
        <v>0</v>
      </c>
      <c r="P152" s="893">
        <f t="shared" ca="1" si="79"/>
        <v>27.98469387755102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IFERROR(__xludf.DUMMYFUNCTION("IMPORTRANGE(""https://docs.google.com/spreadsheets/d/1MeEWN-I1oV_STSDYn1IFDPWt_1FKiwhDph83XaGc0o0/edit?usp=sharing"",""งบพรบ!BU41"")"),0)</f>
        <v>0</v>
      </c>
      <c r="M154" s="899">
        <f ca="1">IFERROR(__xludf.DUMMYFUNCTION("IMPORTRANGE(""https://docs.google.com/spreadsheets/d/1MeEWN-I1oV_STSDYn1IFDPWt_1FKiwhDph83XaGc0o0/edit?usp=sharing"",""งบพรบ!BZ41"")"),7840)</f>
        <v>7840</v>
      </c>
      <c r="N154" s="899">
        <f ca="1">IFERROR(__xludf.DUMMYFUNCTION("IMPORTRANGE(""https://docs.google.com/spreadsheets/d/1MeEWN-I1oV_STSDYn1IFDPWt_1FKiwhDph83XaGc0o0/edit?usp=sharing"",""งบพรบ!CB41"")"),2194)</f>
        <v>2194</v>
      </c>
      <c r="O154" s="899">
        <f t="shared" ca="1" si="78"/>
        <v>0</v>
      </c>
      <c r="P154" s="899">
        <f t="shared" ca="1" si="79"/>
        <v>27.98469387755102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IFERROR(__xludf.DUMMYFUNCTION("IMPORTRANGE(""https://docs.google.com/spreadsheets/d/1MeEWN-I1oV_STSDYn1IFDPWt_1FKiwhDph83XaGc0o0/edit?usp=sharing"",""งบพรบ!BX41"")"),0)</f>
        <v>0</v>
      </c>
      <c r="M157" s="899">
        <f ca="1">IFERROR(__xludf.DUMMYFUNCTION("IMPORTRANGE(""https://docs.google.com/spreadsheets/d/1MeEWN-I1oV_STSDYn1IFDPWt_1FKiwhDph83XaGc0o0/edit?usp=sharing"",""งบพรบ!CA41"")"),0)</f>
        <v>0</v>
      </c>
      <c r="N157" s="899">
        <f ca="1">IFERROR(__xludf.DUMMYFUNCTION("IMPORTRANGE(""https://docs.google.com/spreadsheets/d/1MeEWN-I1oV_STSDYn1IFDPWt_1FKiwhDph83XaGc0o0/edit?usp=sharing"",""งบพรบ!CC41"")"),0)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IFERROR(__xludf.DUMMYFUNCTION("IMPORTRANGE(""https://docs.google.com/spreadsheets/d/1QqKyyYR6Q21VydFLVH3TRQUabQu_ym0Zz7PgGX0-kHA/edit?usp=sharing"",""แผน!X41"")"),0)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IFERROR(__xludf.DUMMYFUNCTION("IMPORTRANGE(""https://docs.google.com/spreadsheets/d/1MeEWN-I1oV_STSDYn1IFDPWt_1FKiwhDph83XaGc0o0/edit?usp=sharing"",""งบพรบ!CE41"")"),22055)</f>
        <v>22055</v>
      </c>
      <c r="M170" s="899">
        <f ca="1">IFERROR(__xludf.DUMMYFUNCTION("IMPORTRANGE(""https://docs.google.com/spreadsheets/d/1MeEWN-I1oV_STSDYn1IFDPWt_1FKiwhDph83XaGc0o0/edit?usp=sharing"",""งบพรบ!CJ41"")"),22055)</f>
        <v>22055</v>
      </c>
      <c r="N170" s="899">
        <f ca="1">IFERROR(__xludf.DUMMYFUNCTION("IMPORTRANGE(""https://docs.google.com/spreadsheets/d/1MeEWN-I1oV_STSDYn1IFDPWt_1FKiwhDph83XaGc0o0/edit?usp=sharing"",""งบพรบ!CL41"")"),22055)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IFERROR(__xludf.DUMMYFUNCTION("IMPORTRANGE(""https://docs.google.com/spreadsheets/d/1MeEWN-I1oV_STSDYn1IFDPWt_1FKiwhDph83XaGc0o0/edit?usp=sharing"",""งบพรบ!CH41"")"),0)</f>
        <v>0</v>
      </c>
      <c r="M173" s="899">
        <f ca="1">IFERROR(__xludf.DUMMYFUNCTION("IMPORTRANGE(""https://docs.google.com/spreadsheets/d/1MeEWN-I1oV_STSDYn1IFDPWt_1FKiwhDph83XaGc0o0/edit?usp=sharing"",""งบพรบ!CK41"")"),0)</f>
        <v>0</v>
      </c>
      <c r="N173" s="899">
        <f ca="1">IFERROR(__xludf.DUMMYFUNCTION("IMPORTRANGE(""https://docs.google.com/spreadsheets/d/1MeEWN-I1oV_STSDYn1IFDPWt_1FKiwhDph83XaGc0o0/edit?usp=sharing"",""งบพรบ!CM41"")"),0)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IFERROR(__xludf.DUMMYFUNCTION("IMPORTRANGE(""https://docs.google.com/spreadsheets/d/1QqKyyYR6Q21VydFLVH3TRQUabQu_ym0Zz7PgGX0-kHA/edit?usp=sharing"",""แผน!Y41"")"),11)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72500</v>
      </c>
      <c r="M181" s="1004">
        <f t="shared" ca="1" si="92"/>
        <v>62500</v>
      </c>
      <c r="N181" s="1004">
        <f t="shared" ca="1" si="92"/>
        <v>37533</v>
      </c>
      <c r="O181" s="1004">
        <f t="shared" ref="O181:O189" ca="1" si="93">IF(L181&gt;0,N181*100/L181,0)</f>
        <v>51.769655172413792</v>
      </c>
      <c r="P181" s="1004">
        <f t="shared" ref="P181:P189" ca="1" si="94">IF(M181&gt;0,N181*100/M181,0)</f>
        <v>60.052799999999998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72500</v>
      </c>
      <c r="M183" s="899">
        <f t="shared" ca="1" si="95"/>
        <v>62500</v>
      </c>
      <c r="N183" s="899">
        <f t="shared" ca="1" si="95"/>
        <v>37533</v>
      </c>
      <c r="O183" s="899">
        <f t="shared" ca="1" si="93"/>
        <v>51.769655172413792</v>
      </c>
      <c r="P183" s="899">
        <f t="shared" ca="1" si="94"/>
        <v>60.052799999999998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72500</v>
      </c>
      <c r="M184" s="893">
        <f t="shared" ca="1" si="96"/>
        <v>62500</v>
      </c>
      <c r="N184" s="893">
        <f t="shared" ca="1" si="96"/>
        <v>37533</v>
      </c>
      <c r="O184" s="893">
        <f t="shared" ca="1" si="93"/>
        <v>51.769655172413792</v>
      </c>
      <c r="P184" s="893">
        <f t="shared" ca="1" si="94"/>
        <v>60.052799999999998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IFERROR(__xludf.DUMMYFUNCTION("IMPORTRANGE(""https://docs.google.com/spreadsheets/d/1MeEWN-I1oV_STSDYn1IFDPWt_1FKiwhDph83XaGc0o0/edit?usp=sharing"",""งบพรบ!CO41"")"),72500)</f>
        <v>72500</v>
      </c>
      <c r="M186" s="899">
        <f ca="1">IFERROR(__xludf.DUMMYFUNCTION("IMPORTRANGE(""https://docs.google.com/spreadsheets/d/1MeEWN-I1oV_STSDYn1IFDPWt_1FKiwhDph83XaGc0o0/edit?usp=sharing"",""งบพรบ!CT41"")"),62500)</f>
        <v>62500</v>
      </c>
      <c r="N186" s="899">
        <f ca="1">IFERROR(__xludf.DUMMYFUNCTION("IMPORTRANGE(""https://docs.google.com/spreadsheets/d/1MeEWN-I1oV_STSDYn1IFDPWt_1FKiwhDph83XaGc0o0/edit?usp=sharing"",""งบพรบ!CV41"")"),37533)</f>
        <v>37533</v>
      </c>
      <c r="O186" s="899">
        <f t="shared" ca="1" si="93"/>
        <v>51.769655172413792</v>
      </c>
      <c r="P186" s="899">
        <f t="shared" ca="1" si="94"/>
        <v>60.052799999999998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IFERROR(__xludf.DUMMYFUNCTION("IMPORTRANGE(""https://docs.google.com/spreadsheets/d/1MeEWN-I1oV_STSDYn1IFDPWt_1FKiwhDph83XaGc0o0/edit?usp=sharing"",""งบพรบ!CR41"")"),0)</f>
        <v>0</v>
      </c>
      <c r="M189" s="899">
        <f ca="1">IFERROR(__xludf.DUMMYFUNCTION("IMPORTRANGE(""https://docs.google.com/spreadsheets/d/1MeEWN-I1oV_STSDYn1IFDPWt_1FKiwhDph83XaGc0o0/edit?usp=sharing"",""งบพรบ!CU41"")"),0)</f>
        <v>0</v>
      </c>
      <c r="N189" s="899">
        <f ca="1">IFERROR(__xludf.DUMMYFUNCTION("IMPORTRANGE(""https://docs.google.com/spreadsheets/d/1MeEWN-I1oV_STSDYn1IFDPWt_1FKiwhDph83XaGc0o0/edit?usp=sharing"",""งบพรบ!CW41"")"),0)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1</v>
      </c>
      <c r="K190" s="1090">
        <f ca="1">IF(I190&gt;0,J190*100/I190,0)</f>
        <v>25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IFERROR(__xludf.DUMMYFUNCTION("IMPORTRANGE(""https://docs.google.com/spreadsheets/d/1QqKyyYR6Q21VydFLVH3TRQUabQu_ym0Zz7PgGX0-kHA/edit?usp=sharing"",""แผน!Z41"")"),6000)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IFERROR(__xludf.DUMMYFUNCTION("IMPORTRANGE(""https://docs.google.com/spreadsheets/d/1QqKyyYR6Q21VydFLVH3TRQUabQu_ym0Zz7PgGX0-kHA/edit?usp=sharing"",""แผน!AC41"")"),4)</f>
        <v>4</v>
      </c>
      <c r="J193" s="1024">
        <v>1</v>
      </c>
      <c r="K193" s="893">
        <f ca="1">IF(I193&gt;0,J193*100/I193,0)</f>
        <v>25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10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10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27000</v>
      </c>
      <c r="O198" s="1004">
        <f ca="1">IF(L198&gt;0,N198*100/L198,0)</f>
        <v>69.230769230769226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IFERROR(__xludf.DUMMYFUNCTION("IMPORTRANGE(""https://docs.google.com/spreadsheets/d/1QqKyyYR6Q21VydFLVH3TRQUabQu_ym0Zz7PgGX0-kHA/edit?usp=sharing"",""แผน!AE41"")"),3000)</f>
        <v>3000</v>
      </c>
      <c r="M199" s="893"/>
      <c r="N199" s="1096">
        <v>3000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IFERROR(__xludf.DUMMYFUNCTION("IMPORTRANGE(""https://docs.google.com/spreadsheets/d/1QqKyyYR6Q21VydFLVH3TRQUabQu_ym0Zz7PgGX0-kHA/edit?usp=sharing"",""แผน!AF41"")"),24000)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IFERROR(__xludf.DUMMYFUNCTION("IMPORTRANGE(""https://docs.google.com/spreadsheets/d/1QqKyyYR6Q21VydFLVH3TRQUabQu_ym0Zz7PgGX0-kHA/edit?usp=sharing"",""แผน!AG41"")"),12000)</f>
        <v>12000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IFERROR(__xludf.DUMMYFUNCTION("IMPORTRANGE(""https://docs.google.com/spreadsheets/d/1QqKyyYR6Q21VydFLVH3TRQUabQu_ym0Zz7PgGX0-kHA/edit?usp=sharing"",""แผน!AH41"")"),0)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IFERROR(__xludf.DUMMYFUNCTION("IMPORTRANGE(""https://docs.google.com/spreadsheets/d/1QqKyyYR6Q21VydFLVH3TRQUabQu_ym0Zz7PgGX0-kHA/edit?usp=sharing"",""แผน!AI41"")"),3)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8000</v>
      </c>
      <c r="O209" s="1004">
        <f ca="1">IF(L209&gt;0,N209*100/L209,0)</f>
        <v>57.142857142857146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IFERROR(__xludf.DUMMYFUNCTION("IMPORTRANGE(""https://docs.google.com/spreadsheets/d/1QqKyyYR6Q21VydFLVH3TRQUabQu_ym0Zz7PgGX0-kHA/edit?usp=sharing"",""แผน!AK41"")"),1000)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IFERROR(__xludf.DUMMYFUNCTION("IMPORTRANGE(""https://docs.google.com/spreadsheets/d/1QqKyyYR6Q21VydFLVH3TRQUabQu_ym0Zz7PgGX0-kHA/edit?usp=sharing"",""แผน!AL41"")"),5000)</f>
        <v>5000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IFERROR(__xludf.DUMMYFUNCTION("IMPORTRANGE(""https://docs.google.com/spreadsheets/d/1QqKyyYR6Q21VydFLVH3TRQUabQu_ym0Zz7PgGX0-kHA/edit?usp=sharing"",""แผน!AM41"")"),8000)</f>
        <v>8000</v>
      </c>
      <c r="M212" s="893"/>
      <c r="N212" s="1096">
        <v>8000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IFERROR(__xludf.DUMMYFUNCTION("IMPORTRANGE(""https://docs.google.com/spreadsheets/d/1QqKyyYR6Q21VydFLVH3TRQUabQu_ym0Zz7PgGX0-kHA/edit?usp=sharing"",""แผน!AN41"")"),1)</f>
        <v>1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IFERROR(__xludf.DUMMYFUNCTION("IMPORTRANGE(""https://docs.google.com/spreadsheets/d/1QqKyyYR6Q21VydFLVH3TRQUabQu_ym0Zz7PgGX0-kHA/edit?usp=sharing"",""แผน!AN41"")"),1)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30000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13500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IFERROR(__xludf.DUMMYFUNCTION("IMPORTRANGE(""https://docs.google.com/spreadsheets/d/1QqKyyYR6Q21VydFLVH3TRQUabQu_ym0Zz7PgGX0-kHA/edit?usp=sharing"",""แผน!AP41"")"),5000)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IFERROR(__xludf.DUMMYFUNCTION("IMPORTRANGE(""https://docs.google.com/spreadsheets/d/1QqKyyYR6Q21VydFLVH3TRQUabQu_ym0Zz7PgGX0-kHA/edit?usp=sharing"",""แผน!AQ41"")"),8500)</f>
        <v>8500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IFERROR(__xludf.DUMMYFUNCTION("IMPORTRANGE(""https://docs.google.com/spreadsheets/d/1QqKyyYR6Q21VydFLVH3TRQUabQu_ym0Zz7PgGX0-kHA/edit?usp=sharing"",""แผน!AR41"")"),0)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IFERROR(__xludf.DUMMYFUNCTION("IMPORTRANGE(""https://docs.google.com/spreadsheets/d/1QqKyyYR6Q21VydFLVH3TRQUabQu_ym0Zz7PgGX0-kHA/edit?usp=sharing"",""แผน!AT41"")"),30000)</f>
        <v>30000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IFERROR(__xludf.DUMMYFUNCTION("IMPORTRANGE(""https://docs.google.com/spreadsheets/d/1QqKyyYR6Q21VydFLVH3TRQUabQu_ym0Zz7PgGX0-kHA/edit?usp=sharing"",""แผน!AT41"")"),30000)</f>
        <v>30000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IFERROR(__xludf.DUMMYFUNCTION("IMPORTRANGE(""https://docs.google.com/spreadsheets/d/1QqKyyYR6Q21VydFLVH3TRQUabQu_ym0Zz7PgGX0-kHA/edit?usp=sharing"",""แผน!AS41"")"),0)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IFERROR(__xludf.DUMMYFUNCTION("IMPORTRANGE(""https://docs.google.com/spreadsheets/d/1QqKyyYR6Q21VydFLVH3TRQUabQu_ym0Zz7PgGX0-kHA/edit?usp=sharing"",""แผน!AV41"")"),0)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IFERROR(__xludf.DUMMYFUNCTION("IMPORTRANGE(""https://docs.google.com/spreadsheets/d/1QqKyyYR6Q21VydFLVH3TRQUabQu_ym0Zz7PgGX0-kHA/edit?usp=sharing"",""แผน!AW41"")"),0)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IFERROR(__xludf.DUMMYFUNCTION("IMPORTRANGE(""https://docs.google.com/spreadsheets/d/1QqKyyYR6Q21VydFLVH3TRQUabQu_ym0Zz7PgGX0-kHA/edit?usp=sharing"",""แผน!AX41"")"),0)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IFERROR(__xludf.DUMMYFUNCTION("IMPORTRANGE(""https://docs.google.com/spreadsheets/d/1QqKyyYR6Q21VydFLVH3TRQUabQu_ym0Zz7PgGX0-kHA/edit?usp=sharing"",""แผน!AY41"")"),0)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IFERROR(__xludf.DUMMYFUNCTION("IMPORTRANGE(""https://docs.google.com/spreadsheets/d/1QqKyyYR6Q21VydFLVH3TRQUabQu_ym0Zz7PgGX0-kHA/edit?usp=sharing"",""แผน!BE41"")"),0)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IFERROR(__xludf.DUMMYFUNCTION("IMPORTRANGE(""https://docs.google.com/spreadsheets/d/1QqKyyYR6Q21VydFLVH3TRQUabQu_ym0Zz7PgGX0-kHA/edit?usp=sharing"",""แผน!AZ41"")"),0)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IFERROR(__xludf.DUMMYFUNCTION("IMPORTRANGE(""https://docs.google.com/spreadsheets/d/1QqKyyYR6Q21VydFLVH3TRQUabQu_ym0Zz7PgGX0-kHA/edit?usp=sharing"",""แผน!BA41"")"),0)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IFERROR(__xludf.DUMMYFUNCTION("IMPORTRANGE(""https://docs.google.com/spreadsheets/d/1QqKyyYR6Q21VydFLVH3TRQUabQu_ym0Zz7PgGX0-kHA/edit?usp=sharing"",""แผน!BB41"")"),0)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IFERROR(__xludf.DUMMYFUNCTION("IMPORTRANGE(""https://docs.google.com/spreadsheets/d/1QqKyyYR6Q21VydFLVH3TRQUabQu_ym0Zz7PgGX0-kHA/edit?usp=sharing"",""แผน!BC41"")"),0)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IFERROR(__xludf.DUMMYFUNCTION("IMPORTRANGE(""https://docs.google.com/spreadsheets/d/1QqKyyYR6Q21VydFLVH3TRQUabQu_ym0Zz7PgGX0-kHA/edit?usp=sharing"",""แผน!BF41"")"),0)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15680</v>
      </c>
      <c r="O261" s="1004">
        <f t="shared" ref="O261:O269" ca="1" si="117">IF(L261&gt;0,N261*100/L261,0)</f>
        <v>58.289962825278813</v>
      </c>
      <c r="P261" s="1004">
        <f t="shared" ref="P261:P269" ca="1" si="118">IF(M261&gt;0,N261*100/M261,0)</f>
        <v>65.606694560669453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15680</v>
      </c>
      <c r="O263" s="899">
        <f t="shared" ca="1" si="117"/>
        <v>58.289962825278813</v>
      </c>
      <c r="P263" s="899">
        <f t="shared" ca="1" si="118"/>
        <v>65.606694560669453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15680</v>
      </c>
      <c r="O264" s="893">
        <f t="shared" ca="1" si="117"/>
        <v>58.289962825278813</v>
      </c>
      <c r="P264" s="893">
        <f t="shared" ca="1" si="118"/>
        <v>65.606694560669453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IFERROR(__xludf.DUMMYFUNCTION("IMPORTRANGE(""https://docs.google.com/spreadsheets/d/1MeEWN-I1oV_STSDYn1IFDPWt_1FKiwhDph83XaGc0o0/edit?usp=sharing"",""งบพรบ!CY41"")"),26900)</f>
        <v>26900</v>
      </c>
      <c r="M266" s="899">
        <f ca="1">IFERROR(__xludf.DUMMYFUNCTION("IMPORTRANGE(""https://docs.google.com/spreadsheets/d/1MeEWN-I1oV_STSDYn1IFDPWt_1FKiwhDph83XaGc0o0/edit?usp=sharing"",""งบพรบ!DD41"")"),23900)</f>
        <v>23900</v>
      </c>
      <c r="N266" s="899">
        <f ca="1">IFERROR(__xludf.DUMMYFUNCTION("IMPORTRANGE(""https://docs.google.com/spreadsheets/d/1MeEWN-I1oV_STSDYn1IFDPWt_1FKiwhDph83XaGc0o0/edit?usp=sharing"",""งบพรบ!DF41"")"),15680)</f>
        <v>15680</v>
      </c>
      <c r="O266" s="899">
        <f t="shared" ca="1" si="117"/>
        <v>58.289962825278813</v>
      </c>
      <c r="P266" s="899">
        <f t="shared" ca="1" si="118"/>
        <v>65.606694560669453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IFERROR(__xludf.DUMMYFUNCTION("IMPORTRANGE(""https://docs.google.com/spreadsheets/d/1MeEWN-I1oV_STSDYn1IFDPWt_1FKiwhDph83XaGc0o0/edit?usp=sharing"",""งบพรบ!DB41"")"),0)</f>
        <v>0</v>
      </c>
      <c r="M269" s="899">
        <f ca="1">IFERROR(__xludf.DUMMYFUNCTION("IMPORTRANGE(""https://docs.google.com/spreadsheets/d/1MeEWN-I1oV_STSDYn1IFDPWt_1FKiwhDph83XaGc0o0/edit?usp=sharing"",""งบพรบ!DE41"")"),0)</f>
        <v>0</v>
      </c>
      <c r="N269" s="899">
        <f ca="1">IFERROR(__xludf.DUMMYFUNCTION("IMPORTRANGE(""https://docs.google.com/spreadsheets/d/1MeEWN-I1oV_STSDYn1IFDPWt_1FKiwhDph83XaGc0o0/edit?usp=sharing"",""งบพรบ!DG41"")"),0)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IFERROR(__xludf.DUMMYFUNCTION("IMPORTRANGE(""https://docs.google.com/spreadsheets/d/1QqKyyYR6Q21VydFLVH3TRQUabQu_ym0Zz7PgGX0-kHA/edit?usp=sharing"",""แผน!EA41"")"),22)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5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50</v>
      </c>
      <c r="J276" s="1173">
        <f t="shared" si="124"/>
        <v>50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22630</v>
      </c>
      <c r="M277" s="1004">
        <f t="shared" ca="1" si="125"/>
        <v>13100</v>
      </c>
      <c r="N277" s="1004">
        <f t="shared" ca="1" si="125"/>
        <v>5160</v>
      </c>
      <c r="O277" s="1004">
        <f t="shared" ref="O277:O285" ca="1" si="126">IF(L277&gt;0,N277*100/L277,0)</f>
        <v>22.801590808661068</v>
      </c>
      <c r="P277" s="1004">
        <f t="shared" ref="P277:P285" ca="1" si="127">IF(M277&gt;0,N277*100/M277,0)</f>
        <v>39.389312977099237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22630</v>
      </c>
      <c r="M279" s="899">
        <f t="shared" ca="1" si="128"/>
        <v>13100</v>
      </c>
      <c r="N279" s="899">
        <f t="shared" ca="1" si="128"/>
        <v>5160</v>
      </c>
      <c r="O279" s="899">
        <f t="shared" ca="1" si="126"/>
        <v>22.801590808661068</v>
      </c>
      <c r="P279" s="899">
        <f t="shared" ca="1" si="127"/>
        <v>39.389312977099237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22630</v>
      </c>
      <c r="M280" s="893">
        <f t="shared" ca="1" si="129"/>
        <v>13100</v>
      </c>
      <c r="N280" s="893">
        <f t="shared" ca="1" si="129"/>
        <v>5160</v>
      </c>
      <c r="O280" s="893">
        <f t="shared" ca="1" si="126"/>
        <v>22.801590808661068</v>
      </c>
      <c r="P280" s="893">
        <f t="shared" ca="1" si="127"/>
        <v>39.389312977099237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IFERROR(__xludf.DUMMYFUNCTION("IMPORTRANGE(""https://docs.google.com/spreadsheets/d/1MeEWN-I1oV_STSDYn1IFDPWt_1FKiwhDph83XaGc0o0/edit?usp=sharing"",""งบพรบ!DI41"")"),22630)</f>
        <v>22630</v>
      </c>
      <c r="M282" s="899">
        <f ca="1">IFERROR(__xludf.DUMMYFUNCTION("IMPORTRANGE(""https://docs.google.com/spreadsheets/d/1MeEWN-I1oV_STSDYn1IFDPWt_1FKiwhDph83XaGc0o0/edit?usp=sharing"",""งบพรบ!DN41"")"),13100)</f>
        <v>13100</v>
      </c>
      <c r="N282" s="899">
        <f ca="1">IFERROR(__xludf.DUMMYFUNCTION("IMPORTRANGE(""https://docs.google.com/spreadsheets/d/1MeEWN-I1oV_STSDYn1IFDPWt_1FKiwhDph83XaGc0o0/edit?usp=sharing"",""งบพรบ!DP41"")"),5160)</f>
        <v>5160</v>
      </c>
      <c r="O282" s="899">
        <f t="shared" ca="1" si="126"/>
        <v>22.801590808661068</v>
      </c>
      <c r="P282" s="899">
        <f t="shared" ca="1" si="127"/>
        <v>39.389312977099237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IFERROR(__xludf.DUMMYFUNCTION("IMPORTRANGE(""https://docs.google.com/spreadsheets/d/1MeEWN-I1oV_STSDYn1IFDPWt_1FKiwhDph83XaGc0o0/edit?usp=sharing"",""งบพรบ!DL41"")"),0)</f>
        <v>0</v>
      </c>
      <c r="M285" s="899">
        <f ca="1">IFERROR(__xludf.DUMMYFUNCTION("IMPORTRANGE(""https://docs.google.com/spreadsheets/d/1MeEWN-I1oV_STSDYn1IFDPWt_1FKiwhDph83XaGc0o0/edit?usp=sharing"",""งบพรบ!DO41"")"),0)</f>
        <v>0</v>
      </c>
      <c r="N285" s="899">
        <f ca="1">IFERROR(__xludf.DUMMYFUNCTION("IMPORTRANGE(""https://docs.google.com/spreadsheets/d/1MeEWN-I1oV_STSDYn1IFDPWt_1FKiwhDph83XaGc0o0/edit?usp=sharing"",""งบพรบ!DQ41"")"),0)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IFERROR(__xludf.DUMMYFUNCTION("IMPORTRANGE(""https://docs.google.com/spreadsheets/d/1QqKyyYR6Q21VydFLVH3TRQUabQu_ym0Zz7PgGX0-kHA/edit?usp=sharing"",""แผน!EC41"")"),50)</f>
        <v>50</v>
      </c>
      <c r="J287" s="1024">
        <v>50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IFERROR(__xludf.DUMMYFUNCTION("IMPORTRANGE(""https://docs.google.com/spreadsheets/d/1QqKyyYR6Q21VydFLVH3TRQUabQu_ym0Zz7PgGX0-kHA/edit?usp=sharing"",""แผน!EB41"")"),5)</f>
        <v>5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IFERROR(__xludf.DUMMYFUNCTION("IMPORTRANGE(""https://docs.google.com/spreadsheets/d/1QqKyyYR6Q21VydFLVH3TRQUabQu_ym0Zz7PgGX0-kHA/edit?usp=sharing"",""แผน!EB41"")"),5)</f>
        <v>5</v>
      </c>
      <c r="J290" s="1024">
        <v>5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IFERROR(__xludf.DUMMYFUNCTION("IMPORTRANGE(""https://docs.google.com/spreadsheets/d/1QqKyyYR6Q21VydFLVH3TRQUabQu_ym0Zz7PgGX0-kHA/edit?usp=sharing"",""แผน!EB41"")"),5)</f>
        <v>5</v>
      </c>
      <c r="J291" s="1024">
        <v>5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IFERROR(__xludf.DUMMYFUNCTION("IMPORTRANGE(""https://docs.google.com/spreadsheets/d/1QqKyyYR6Q21VydFLVH3TRQUabQu_ym0Zz7PgGX0-kHA/edit?usp=sharing"",""แผน!EB41"")"),5)</f>
        <v>5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IFERROR(__xludf.DUMMYFUNCTION("IMPORTRANGE(""https://docs.google.com/spreadsheets/d/1QqKyyYR6Q21VydFLVH3TRQUabQu_ym0Zz7PgGX0-kHA/edit?usp=sharing"",""แผน!EB41"")"),5)</f>
        <v>5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19300</v>
      </c>
      <c r="O298" s="1004">
        <f t="shared" ref="O298:O306" ca="1" si="136">IF(L298&gt;0,N298*100/L298,0)</f>
        <v>23.422330097087379</v>
      </c>
      <c r="P298" s="1004">
        <f t="shared" ref="P298:P306" ca="1" si="137">IF(M298&gt;0,N298*100/M298,0)</f>
        <v>29.968944099378881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19300</v>
      </c>
      <c r="O300" s="899">
        <f t="shared" ca="1" si="136"/>
        <v>23.422330097087379</v>
      </c>
      <c r="P300" s="899">
        <f t="shared" ca="1" si="137"/>
        <v>29.968944099378881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19300</v>
      </c>
      <c r="O301" s="893">
        <f t="shared" ca="1" si="136"/>
        <v>23.422330097087379</v>
      </c>
      <c r="P301" s="893">
        <f t="shared" ca="1" si="137"/>
        <v>29.968944099378881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IFERROR(__xludf.DUMMYFUNCTION("IMPORTRANGE(""https://docs.google.com/spreadsheets/d/1MeEWN-I1oV_STSDYn1IFDPWt_1FKiwhDph83XaGc0o0/edit?usp=sharing"",""งบพรบ!DS41"")"),82400)</f>
        <v>82400</v>
      </c>
      <c r="M303" s="899">
        <f ca="1">IFERROR(__xludf.DUMMYFUNCTION("IMPORTRANGE(""https://docs.google.com/spreadsheets/d/1MeEWN-I1oV_STSDYn1IFDPWt_1FKiwhDph83XaGc0o0/edit?usp=sharing"",""งบพรบ!DX41"")"),64400)</f>
        <v>64400</v>
      </c>
      <c r="N303" s="899">
        <f ca="1">IFERROR(__xludf.DUMMYFUNCTION("IMPORTRANGE(""https://docs.google.com/spreadsheets/d/1MeEWN-I1oV_STSDYn1IFDPWt_1FKiwhDph83XaGc0o0/edit?usp=sharing"",""งบพรบ!DZ41"")"),19300)</f>
        <v>19300</v>
      </c>
      <c r="O303" s="899">
        <f t="shared" ca="1" si="136"/>
        <v>23.422330097087379</v>
      </c>
      <c r="P303" s="899">
        <f t="shared" ca="1" si="137"/>
        <v>29.968944099378881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IFERROR(__xludf.DUMMYFUNCTION("IMPORTRANGE(""https://docs.google.com/spreadsheets/d/1MeEWN-I1oV_STSDYn1IFDPWt_1FKiwhDph83XaGc0o0/edit?usp=sharing"",""งบพรบ!DV41"")"),0)</f>
        <v>0</v>
      </c>
      <c r="M306" s="899">
        <f ca="1">IFERROR(__xludf.DUMMYFUNCTION("IMPORTRANGE(""https://docs.google.com/spreadsheets/d/1MeEWN-I1oV_STSDYn1IFDPWt_1FKiwhDph83XaGc0o0/edit?usp=sharing"",""งบพรบ!DY41"")"),0)</f>
        <v>0</v>
      </c>
      <c r="N306" s="899">
        <f ca="1">IFERROR(__xludf.DUMMYFUNCTION("IMPORTRANGE(""https://docs.google.com/spreadsheets/d/1MeEWN-I1oV_STSDYn1IFDPWt_1FKiwhDph83XaGc0o0/edit?usp=sharing"",""งบพรบ!EA41"")"),0)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IFERROR(__xludf.DUMMYFUNCTION("IMPORTRANGE(""https://docs.google.com/spreadsheets/d/1QqKyyYR6Q21VydFLVH3TRQUabQu_ym0Zz7PgGX0-kHA/edit?usp=sharing"",""แผน!ED41"")"),20)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IFERROR(__xludf.DUMMYFUNCTION("IMPORTRANGE(""https://docs.google.com/spreadsheets/d/1QqKyyYR6Q21VydFLVH3TRQUabQu_ym0Zz7PgGX0-kHA/edit?usp=sharing"",""แผน!ED41"")"),20)</f>
        <v>20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IFERROR(__xludf.DUMMYFUNCTION("IMPORTRANGE(""https://docs.google.com/spreadsheets/d/1QqKyyYR6Q21VydFLVH3TRQUabQu_ym0Zz7PgGX0-kHA/edit?usp=sharing"",""แผน!ED41"")"),20)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IFERROR(__xludf.DUMMYFUNCTION("IMPORTRANGE(""https://docs.google.com/spreadsheets/d/1QqKyyYR6Q21VydFLVH3TRQUabQu_ym0Zz7PgGX0-kHA/edit?usp=sharing"",""แผน!EE41"")"),4)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IFERROR(__xludf.DUMMYFUNCTION("IMPORTRANGE(""https://docs.google.com/spreadsheets/d/1MeEWN-I1oV_STSDYn1IFDPWt_1FKiwhDph83XaGc0o0/edit?usp=sharing"",""งบพรบ!EC41"")"),0)</f>
        <v>0</v>
      </c>
      <c r="M320" s="899">
        <f ca="1">IFERROR(__xludf.DUMMYFUNCTION("IMPORTRANGE(""https://docs.google.com/spreadsheets/d/1MeEWN-I1oV_STSDYn1IFDPWt_1FKiwhDph83XaGc0o0/edit?usp=sharing"",""งบพรบ!EH41"")"),0)</f>
        <v>0</v>
      </c>
      <c r="N320" s="899">
        <f ca="1">IFERROR(__xludf.DUMMYFUNCTION("IMPORTRANGE(""https://docs.google.com/spreadsheets/d/1MeEWN-I1oV_STSDYn1IFDPWt_1FKiwhDph83XaGc0o0/edit?usp=sharing"",""งบพรบ!EJ41"")"),0)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IFERROR(__xludf.DUMMYFUNCTION("IMPORTRANGE(""https://docs.google.com/spreadsheets/d/1MeEWN-I1oV_STSDYn1IFDPWt_1FKiwhDph83XaGc0o0/edit?usp=sharing"",""งบพรบ!EF41"")"),0)</f>
        <v>0</v>
      </c>
      <c r="M323" s="899">
        <f ca="1">IFERROR(__xludf.DUMMYFUNCTION("IMPORTRANGE(""https://docs.google.com/spreadsheets/d/1MeEWN-I1oV_STSDYn1IFDPWt_1FKiwhDph83XaGc0o0/edit?usp=sharing"",""งบพรบ!EI41"")"),0)</f>
        <v>0</v>
      </c>
      <c r="N323" s="899">
        <f ca="1">IFERROR(__xludf.DUMMYFUNCTION("IMPORTRANGE(""https://docs.google.com/spreadsheets/d/1MeEWN-I1oV_STSDYn1IFDPWt_1FKiwhDph83XaGc0o0/edit?usp=sharing"",""งบพรบ!EK41"")"),0)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IFERROR(__xludf.DUMMYFUNCTION("IMPORTRANGE(""https://docs.google.com/spreadsheets/d/1QqKyyYR6Q21VydFLVH3TRQUabQu_ym0Zz7PgGX0-kHA/edit?usp=sharing"",""แผน!EF41"")"),0)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IFERROR(__xludf.DUMMYFUNCTION("IMPORTRANGE(""https://docs.google.com/spreadsheets/d/1QqKyyYR6Q21VydFLVH3TRQUabQu_ym0Zz7PgGX0-kHA/edit?usp=sharing"",""แผน!EG41"")"),3200)</f>
        <v>3200</v>
      </c>
      <c r="J327" s="1202">
        <f ca="1">J338+J341+J342+J343</f>
        <v>3975</v>
      </c>
      <c r="K327" s="1203">
        <f ca="1">IF(I327&gt;0,J327*100/I327,0)</f>
        <v>124.21875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179000</v>
      </c>
      <c r="M328" s="1004">
        <f t="shared" ca="1" si="149"/>
        <v>136750</v>
      </c>
      <c r="N328" s="1004">
        <f t="shared" ca="1" si="149"/>
        <v>91316</v>
      </c>
      <c r="O328" s="1004">
        <f t="shared" ref="O328:O336" ca="1" si="150">IF(L328&gt;0,N328*100/L328,0)</f>
        <v>51.014525139664805</v>
      </c>
      <c r="P328" s="1004">
        <f t="shared" ref="P328:P336" ca="1" si="151">IF(M328&gt;0,N328*100/M328,0)</f>
        <v>66.775868372943322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179000</v>
      </c>
      <c r="M330" s="899">
        <f t="shared" ca="1" si="152"/>
        <v>136750</v>
      </c>
      <c r="N330" s="899">
        <f t="shared" ca="1" si="152"/>
        <v>91316</v>
      </c>
      <c r="O330" s="899">
        <f t="shared" ca="1" si="150"/>
        <v>51.014525139664805</v>
      </c>
      <c r="P330" s="899">
        <f t="shared" ca="1" si="151"/>
        <v>66.775868372943322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179000</v>
      </c>
      <c r="M331" s="893">
        <f t="shared" ca="1" si="153"/>
        <v>136750</v>
      </c>
      <c r="N331" s="893">
        <f t="shared" ca="1" si="153"/>
        <v>91316</v>
      </c>
      <c r="O331" s="893">
        <f t="shared" ca="1" si="150"/>
        <v>51.014525139664805</v>
      </c>
      <c r="P331" s="893">
        <f t="shared" ca="1" si="151"/>
        <v>66.775868372943322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IFERROR(__xludf.DUMMYFUNCTION("IMPORTRANGE(""https://docs.google.com/spreadsheets/d/1MeEWN-I1oV_STSDYn1IFDPWt_1FKiwhDph83XaGc0o0/edit?usp=sharing"",""งบพรบ!EM41"")"),179000)</f>
        <v>179000</v>
      </c>
      <c r="M333" s="899">
        <f ca="1">IFERROR(__xludf.DUMMYFUNCTION("IMPORTRANGE(""https://docs.google.com/spreadsheets/d/1MeEWN-I1oV_STSDYn1IFDPWt_1FKiwhDph83XaGc0o0/edit?usp=sharing"",""งบพรบ!ER41"")"),136750)</f>
        <v>136750</v>
      </c>
      <c r="N333" s="899">
        <f ca="1">IFERROR(__xludf.DUMMYFUNCTION("IMPORTRANGE(""https://docs.google.com/spreadsheets/d/1MeEWN-I1oV_STSDYn1IFDPWt_1FKiwhDph83XaGc0o0/edit?usp=sharing"",""งบพรบ!ET41"")"),91316)</f>
        <v>91316</v>
      </c>
      <c r="O333" s="899">
        <f t="shared" ca="1" si="150"/>
        <v>51.014525139664805</v>
      </c>
      <c r="P333" s="899">
        <f t="shared" ca="1" si="151"/>
        <v>66.775868372943322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IFERROR(__xludf.DUMMYFUNCTION("IMPORTRANGE(""https://docs.google.com/spreadsheets/d/1MeEWN-I1oV_STSDYn1IFDPWt_1FKiwhDph83XaGc0o0/edit?usp=sharing"",""งบพรบ!EP41"")"),0)</f>
        <v>0</v>
      </c>
      <c r="M336" s="899">
        <f ca="1">IFERROR(__xludf.DUMMYFUNCTION("IMPORTRANGE(""https://docs.google.com/spreadsheets/d/1MeEWN-I1oV_STSDYn1IFDPWt_1FKiwhDph83XaGc0o0/edit?usp=sharing"",""งบพรบ!ES41"")"),0)</f>
        <v>0</v>
      </c>
      <c r="N336" s="899">
        <f ca="1">IFERROR(__xludf.DUMMYFUNCTION("IMPORTRANGE(""https://docs.google.com/spreadsheets/d/1MeEWN-I1oV_STSDYn1IFDPWt_1FKiwhDph83XaGc0o0/edit?usp=sharing"",""งบพรบ!EU41"")"),0)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IFERROR(__xludf.DUMMYFUNCTION("IMPORTRANGE(""https://docs.google.com/spreadsheets/d/1QqKyyYR6Q21VydFLVH3TRQUabQu_ym0Zz7PgGX0-kHA/edit?usp=sharing"",""แผน!EG41"")"),3200)</f>
        <v>3200</v>
      </c>
      <c r="J338" s="892">
        <f ca="1">IFERROR(__xludf.DUMMYFUNCTION("IMPORTRANGE(""https://docs.google.com/spreadsheets/d/1kVcqe37tkHyjCSG3S0O1AXqVkqjo8mSIZil3BcpIysc/edit?usp=sharing"",""ศูนย์!D41"")"),3582)</f>
        <v>3582</v>
      </c>
      <c r="K338" s="893">
        <f ca="1">IF(I338&gt;0,J338*100/I338,0)</f>
        <v>111.9375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IFERROR(__xludf.DUMMYFUNCTION("IMPORTRANGE(""https://docs.google.com/spreadsheets/d/1QqKyyYR6Q21VydFLVH3TRQUabQu_ym0Zz7PgGX0-kHA/edit?usp=sharing"",""แผน!EH41"")"),8)</f>
        <v>8</v>
      </c>
      <c r="J340" s="892">
        <f ca="1">IFERROR(__xludf.DUMMYFUNCTION("IMPORTRANGE(""https://docs.google.com/spreadsheets/d/1kVcqe37tkHyjCSG3S0O1AXqVkqjo8mSIZil3BcpIysc/edit?usp=sharing"",""ศูนย์!E41"")"),13)</f>
        <v>13</v>
      </c>
      <c r="K340" s="893">
        <f ca="1">IF(I340&gt;0,J340*100/I340,0)</f>
        <v>162.5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IFERROR(__xludf.DUMMYFUNCTION("IMPORTRANGE(""https://docs.google.com/spreadsheets/d/1kVcqe37tkHyjCSG3S0O1AXqVkqjo8mSIZil3BcpIysc/edit?usp=sharing"",""ศูนย์!F41"")"),393)</f>
        <v>393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IFERROR(__xludf.DUMMYFUNCTION("IMPORTRANGE(""https://docs.google.com/spreadsheets/d/1kVcqe37tkHyjCSG3S0O1AXqVkqjo8mSIZil3BcpIysc/edit?usp=sharing"",""ศูนย์!G41"")"),0)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IFERROR(__xludf.DUMMYFUNCTION("IMPORTRANGE(""https://docs.google.com/spreadsheets/d/1kVcqe37tkHyjCSG3S0O1AXqVkqjo8mSIZil3BcpIysc/edit?usp=sharing"",""ศูนย์!H41"")"),0)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791770</v>
      </c>
      <c r="M345" s="1004">
        <f t="shared" ca="1" si="155"/>
        <v>615435</v>
      </c>
      <c r="N345" s="1004">
        <f t="shared" ca="1" si="155"/>
        <v>386821</v>
      </c>
      <c r="O345" s="1004">
        <f t="shared" ref="O345:O353" ca="1" si="156">IF(L345&gt;0,N345*100/L345,0)</f>
        <v>48.855223107720676</v>
      </c>
      <c r="P345" s="1004">
        <f t="shared" ref="P345:P353" ca="1" si="157">IF(M345&gt;0,N345*100/M345,0)</f>
        <v>62.853266388814419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791770</v>
      </c>
      <c r="M347" s="899">
        <f t="shared" ca="1" si="158"/>
        <v>615435</v>
      </c>
      <c r="N347" s="899">
        <f t="shared" ca="1" si="158"/>
        <v>386821</v>
      </c>
      <c r="O347" s="899">
        <f t="shared" ca="1" si="156"/>
        <v>48.855223107720676</v>
      </c>
      <c r="P347" s="899">
        <f t="shared" ca="1" si="157"/>
        <v>62.853266388814419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700170</v>
      </c>
      <c r="M348" s="893">
        <f t="shared" ca="1" si="159"/>
        <v>523835</v>
      </c>
      <c r="N348" s="893">
        <f t="shared" ca="1" si="159"/>
        <v>295221</v>
      </c>
      <c r="O348" s="893">
        <f t="shared" ca="1" si="156"/>
        <v>42.164188697030724</v>
      </c>
      <c r="P348" s="893">
        <f t="shared" ca="1" si="157"/>
        <v>56.357631697003825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IFERROR(__xludf.DUMMYFUNCTION("IMPORTRANGE(""https://docs.google.com/spreadsheets/d/1MeEWN-I1oV_STSDYn1IFDPWt_1FKiwhDph83XaGc0o0/edit?usp=sharing"",""งบพรบ!EW41"")"),700170)</f>
        <v>700170</v>
      </c>
      <c r="M350" s="899">
        <f ca="1">IFERROR(__xludf.DUMMYFUNCTION("IMPORTRANGE(""https://docs.google.com/spreadsheets/d/1MeEWN-I1oV_STSDYn1IFDPWt_1FKiwhDph83XaGc0o0/edit?usp=sharing"",""งบพรบ!FB41"")"),523835)</f>
        <v>523835</v>
      </c>
      <c r="N350" s="899">
        <f ca="1">IFERROR(__xludf.DUMMYFUNCTION("IMPORTRANGE(""https://docs.google.com/spreadsheets/d/1MeEWN-I1oV_STSDYn1IFDPWt_1FKiwhDph83XaGc0o0/edit?usp=sharing"",""งบพรบ!FD41"")"),295221)</f>
        <v>295221</v>
      </c>
      <c r="O350" s="899">
        <f t="shared" ca="1" si="156"/>
        <v>42.164188697030724</v>
      </c>
      <c r="P350" s="899">
        <f t="shared" ca="1" si="157"/>
        <v>56.357631697003825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91600</v>
      </c>
      <c r="M351" s="893">
        <f t="shared" ca="1" si="160"/>
        <v>91600</v>
      </c>
      <c r="N351" s="893">
        <f t="shared" ca="1" si="160"/>
        <v>91600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IFERROR(__xludf.DUMMYFUNCTION("IMPORTRANGE(""https://docs.google.com/spreadsheets/d/1MeEWN-I1oV_STSDYn1IFDPWt_1FKiwhDph83XaGc0o0/edit?usp=sharing"",""งบพรบ!EZ41"")"),91600)</f>
        <v>91600</v>
      </c>
      <c r="M353" s="899">
        <f ca="1">IFERROR(__xludf.DUMMYFUNCTION("IMPORTRANGE(""https://docs.google.com/spreadsheets/d/1MeEWN-I1oV_STSDYn1IFDPWt_1FKiwhDph83XaGc0o0/edit?usp=sharing"",""งบพรบ!FC41"")"),91600)</f>
        <v>91600</v>
      </c>
      <c r="N353" s="899">
        <f ca="1">IFERROR(__xludf.DUMMYFUNCTION("IMPORTRANGE(""https://docs.google.com/spreadsheets/d/1MeEWN-I1oV_STSDYn1IFDPWt_1FKiwhDph83XaGc0o0/edit?usp=sharing"",""งบพรบ!FE41"")"),91600)</f>
        <v>91600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IFERROR(__xludf.DUMMYFUNCTION("IMPORTRANGE(""https://docs.google.com/spreadsheets/d/1QqKyyYR6Q21VydFLVH3TRQUabQu_ym0Zz7PgGX0-kHA/edit?usp=sharing"",""แผน!EP41"")"),530)</f>
        <v>530</v>
      </c>
      <c r="J355" s="1218">
        <f ca="1">J362</f>
        <v>164</v>
      </c>
      <c r="K355" s="1219">
        <f ca="1">IF(I355&gt;0,J355*100/I355,0)</f>
        <v>30.943396226415093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IFERROR(__xludf.DUMMYFUNCTION("IMPORTRANGE(""https://docs.google.com/spreadsheets/d/1XWAQStnk-4SwqDmLtmXYiTMKHgktTP8We1SCoS47DrQ/edit?usp=sharing"",""จัดที่ดิน!W41"")"),158)</f>
        <v>158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IFERROR(__xludf.DUMMYFUNCTION("IMPORTRANGE(""https://docs.google.com/spreadsheets/d/1QqKyyYR6Q21VydFLVH3TRQUabQu_ym0Zz7PgGX0-kHA/edit?usp=sharing"",""แผน!EO41"")"),4700)</f>
        <v>4700</v>
      </c>
      <c r="J359" s="892">
        <f ca="1">IFERROR(__xludf.DUMMYFUNCTION("IMPORTRANGE(""https://docs.google.com/spreadsheets/d/1XWAQStnk-4SwqDmLtmXYiTMKHgktTP8We1SCoS47DrQ/edit?usp=sharing"",""จัดที่ดิน!X41"")"),1013.25)</f>
        <v>1013.25</v>
      </c>
      <c r="K359" s="893">
        <f t="shared" ca="1" si="161"/>
        <v>21.558510638297872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IFERROR(__xludf.DUMMYFUNCTION("IMPORTRANGE(""https://docs.google.com/spreadsheets/d/1QqKyyYR6Q21VydFLVH3TRQUabQu_ym0Zz7PgGX0-kHA/edit?usp=sharing"",""แผน!EP41"")"),530)</f>
        <v>530</v>
      </c>
      <c r="J360" s="892">
        <f ca="1">IFERROR(__xludf.DUMMYFUNCTION("IMPORTRANGE(""https://docs.google.com/spreadsheets/d/1XWAQStnk-4SwqDmLtmXYiTMKHgktTP8We1SCoS47DrQ/edit?usp=sharing"",""จัดที่ดิน!Y41"")"),165)</f>
        <v>165</v>
      </c>
      <c r="K360" s="893">
        <f t="shared" ca="1" si="161"/>
        <v>31.132075471698112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IFERROR(__xludf.DUMMYFUNCTION("IMPORTRANGE(""https://docs.google.com/spreadsheets/d/1XWAQStnk-4SwqDmLtmXYiTMKHgktTP8We1SCoS47DrQ/edit?usp=sharing"",""จัดที่ดิน!Z41"")"),1057.77)</f>
        <v>1057.77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IFERROR(__xludf.DUMMYFUNCTION("IMPORTRANGE(""https://docs.google.com/spreadsheets/d/1QqKyyYR6Q21VydFLVH3TRQUabQu_ym0Zz7PgGX0-kHA/edit?usp=sharing"",""แผน!EP41"")"),530)</f>
        <v>530</v>
      </c>
      <c r="J362" s="892">
        <f ca="1">IFERROR(__xludf.DUMMYFUNCTION("IMPORTRANGE(""https://docs.google.com/spreadsheets/d/1XWAQStnk-4SwqDmLtmXYiTMKHgktTP8We1SCoS47DrQ/edit?usp=sharing"",""จัดที่ดิน!AA41"")"),164)</f>
        <v>164</v>
      </c>
      <c r="K362" s="893">
        <f t="shared" ca="1" si="161"/>
        <v>30.943396226415093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IFERROR(__xludf.DUMMYFUNCTION("IMPORTRANGE(""https://docs.google.com/spreadsheets/d/1XWAQStnk-4SwqDmLtmXYiTMKHgktTP8We1SCoS47DrQ/edit?usp=sharing"",""จัดที่ดิน!AB41"")"),1054.84)</f>
        <v>1054.8399999999999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1135</v>
      </c>
      <c r="J364" s="1231">
        <f t="shared" ca="1" si="162"/>
        <v>534</v>
      </c>
      <c r="K364" s="1232">
        <f t="shared" ca="1" si="161"/>
        <v>47.048458149779734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IFERROR(__xludf.DUMMYFUNCTION("IMPORTRANGE(""https://docs.google.com/spreadsheets/d/1QqKyyYR6Q21VydFLVH3TRQUabQu_ym0Zz7PgGX0-kHA/edit?usp=sharing"",""แผน!EJ41"")"),140)</f>
        <v>140</v>
      </c>
      <c r="J365" s="1239">
        <f ca="1">J372</f>
        <v>96</v>
      </c>
      <c r="K365" s="1240">
        <f t="shared" ca="1" si="161"/>
        <v>68.571428571428569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IFERROR(__xludf.DUMMYFUNCTION("IMPORTRANGE(""https://docs.google.com/spreadsheets/d/1XWAQStnk-4SwqDmLtmXYiTMKHgktTP8We1SCoS47DrQ/edit?usp=sharing"",""จัดที่ดิน!E41"")"),92)</f>
        <v>92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IFERROR(__xludf.DUMMYFUNCTION("IMPORTRANGE(""https://docs.google.com/spreadsheets/d/1QqKyyYR6Q21VydFLVH3TRQUabQu_ym0Zz7PgGX0-kHA/edit?usp=sharing"",""แผน!EI41"")"),1400)</f>
        <v>1400</v>
      </c>
      <c r="J369" s="892">
        <f ca="1">IFERROR(__xludf.DUMMYFUNCTION("IMPORTRANGE(""https://docs.google.com/spreadsheets/d/1XWAQStnk-4SwqDmLtmXYiTMKHgktTP8We1SCoS47DrQ/edit?usp=sharing"",""จัดที่ดิน!F41"")"),600.38)</f>
        <v>600.38</v>
      </c>
      <c r="K369" s="893">
        <f t="shared" ca="1" si="163"/>
        <v>42.884285714285717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IFERROR(__xludf.DUMMYFUNCTION("IMPORTRANGE(""https://docs.google.com/spreadsheets/d/1QqKyyYR6Q21VydFLVH3TRQUabQu_ym0Zz7PgGX0-kHA/edit?usp=sharing"",""แผน!EJ41"")"),140)</f>
        <v>140</v>
      </c>
      <c r="J370" s="892">
        <f ca="1">IFERROR(__xludf.DUMMYFUNCTION("IMPORTRANGE(""https://docs.google.com/spreadsheets/d/1XWAQStnk-4SwqDmLtmXYiTMKHgktTP8We1SCoS47DrQ/edit?usp=sharing"",""จัดที่ดิน!G41"")"),98)</f>
        <v>98</v>
      </c>
      <c r="K370" s="893">
        <f t="shared" ca="1" si="163"/>
        <v>70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IFERROR(__xludf.DUMMYFUNCTION("IMPORTRANGE(""https://docs.google.com/spreadsheets/d/1XWAQStnk-4SwqDmLtmXYiTMKHgktTP8We1SCoS47DrQ/edit?usp=sharing"",""จัดที่ดิน!H41"")"),629.55)</f>
        <v>629.54999999999995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IFERROR(__xludf.DUMMYFUNCTION("IMPORTRANGE(""https://docs.google.com/spreadsheets/d/1QqKyyYR6Q21VydFLVH3TRQUabQu_ym0Zz7PgGX0-kHA/edit?usp=sharing"",""แผน!EJ41"")"),140)</f>
        <v>140</v>
      </c>
      <c r="J372" s="892">
        <f ca="1">IFERROR(__xludf.DUMMYFUNCTION("IMPORTRANGE(""https://docs.google.com/spreadsheets/d/1XWAQStnk-4SwqDmLtmXYiTMKHgktTP8We1SCoS47DrQ/edit?usp=sharing"",""จัดที่ดิน!I41"")"),96)</f>
        <v>96</v>
      </c>
      <c r="K372" s="893">
        <f t="shared" ca="1" si="163"/>
        <v>68.571428571428569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IFERROR(__xludf.DUMMYFUNCTION("IMPORTRANGE(""https://docs.google.com/spreadsheets/d/1XWAQStnk-4SwqDmLtmXYiTMKHgktTP8We1SCoS47DrQ/edit?usp=sharing"",""จัดที่ดิน!J41"")"),619.87)</f>
        <v>619.87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IFERROR(__xludf.DUMMYFUNCTION("IMPORTRANGE(""https://docs.google.com/spreadsheets/d/1QqKyyYR6Q21VydFLVH3TRQUabQu_ym0Zz7PgGX0-kHA/edit?usp=sharing"",""แผน!EU41"")"),995)</f>
        <v>995</v>
      </c>
      <c r="J374" s="1239">
        <f ca="1">J381</f>
        <v>438</v>
      </c>
      <c r="K374" s="1240">
        <f t="shared" ca="1" si="163"/>
        <v>44.020100502512562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IFERROR(__xludf.DUMMYFUNCTION("IMPORTRANGE(""https://docs.google.com/spreadsheets/d/1XWAQStnk-4SwqDmLtmXYiTMKHgktTP8We1SCoS47DrQ/edit?usp=sharing"",""จัดที่ดิน!AH41"")"),66)</f>
        <v>66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IFERROR(__xludf.DUMMYFUNCTION("IMPORTRANGE(""https://docs.google.com/spreadsheets/d/1QqKyyYR6Q21VydFLVH3TRQUabQu_ym0Zz7PgGX0-kHA/edit?usp=sharing"",""แผน!ET41"")"),3300)</f>
        <v>3300</v>
      </c>
      <c r="J378" s="892">
        <f ca="1">IFERROR(__xludf.DUMMYFUNCTION("IMPORTRANGE(""https://docs.google.com/spreadsheets/d/1XWAQStnk-4SwqDmLtmXYiTMKHgktTP8We1SCoS47DrQ/edit?usp=sharing"",""จัดที่ดิน!AI41"")"),412.87)</f>
        <v>412.87</v>
      </c>
      <c r="K378" s="893">
        <f t="shared" ca="1" si="164"/>
        <v>12.511212121212122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IFERROR(__xludf.DUMMYFUNCTION("IMPORTRANGE(""https://docs.google.com/spreadsheets/d/1QqKyyYR6Q21VydFLVH3TRQUabQu_ym0Zz7PgGX0-kHA/edit?usp=sharing"",""แผน!EU41"")"),995)</f>
        <v>995</v>
      </c>
      <c r="J379" s="892">
        <f ca="1">IFERROR(__xludf.DUMMYFUNCTION("IMPORTRANGE(""https://docs.google.com/spreadsheets/d/1XWAQStnk-4SwqDmLtmXYiTMKHgktTP8We1SCoS47DrQ/edit?usp=sharing"",""จัดที่ดิน!AJ41"")"),438)</f>
        <v>438</v>
      </c>
      <c r="K379" s="893">
        <f t="shared" ca="1" si="164"/>
        <v>44.020100502512562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IFERROR(__xludf.DUMMYFUNCTION("IMPORTRANGE(""https://docs.google.com/spreadsheets/d/1XWAQStnk-4SwqDmLtmXYiTMKHgktTP8We1SCoS47DrQ/edit?usp=sharing"",""จัดที่ดิน!AK41"")"),4720.73)</f>
        <v>4720.7299999999996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IFERROR(__xludf.DUMMYFUNCTION("IMPORTRANGE(""https://docs.google.com/spreadsheets/d/1QqKyyYR6Q21VydFLVH3TRQUabQu_ym0Zz7PgGX0-kHA/edit?usp=sharing"",""แผน!EU41"")"),995)</f>
        <v>995</v>
      </c>
      <c r="J381" s="892">
        <f ca="1">IFERROR(__xludf.DUMMYFUNCTION("IMPORTRANGE(""https://docs.google.com/spreadsheets/d/1XWAQStnk-4SwqDmLtmXYiTMKHgktTP8We1SCoS47DrQ/edit?usp=sharing"",""จัดที่ดิน!AL41"")"),438)</f>
        <v>438</v>
      </c>
      <c r="K381" s="893">
        <f t="shared" ca="1" si="164"/>
        <v>44.020100502512562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IFERROR(__xludf.DUMMYFUNCTION("IMPORTRANGE(""https://docs.google.com/spreadsheets/d/1XWAQStnk-4SwqDmLtmXYiTMKHgktTP8We1SCoS47DrQ/edit?usp=sharing"",""จัดที่ดิน!AM41"")"),4720.77)</f>
        <v>4720.7700000000004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IFERROR(__xludf.DUMMYFUNCTION("IMPORTRANGE(""https://docs.google.com/spreadsheets/d/1QqKyyYR6Q21VydFLVH3TRQUabQu_ym0Zz7PgGX0-kHA/edit?usp=sharing"",""แผน!EW41"")"),50)</f>
        <v>50</v>
      </c>
      <c r="J385" s="1149">
        <f ca="1">IFERROR(__xludf.DUMMYFUNCTION("IMPORTRANGE(""https://docs.google.com/spreadsheets/d/1XWAQStnk-4SwqDmLtmXYiTMKHgktTP8We1SCoS47DrQ/edit?usp=sharing"",""จัดที่ดิน!AP41"")"),27)</f>
        <v>27</v>
      </c>
      <c r="K385" s="1251">
        <f ca="1">IF(I385&gt;0,J385*100/I385,0)</f>
        <v>54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IFERROR(__xludf.DUMMYFUNCTION("IMPORTRANGE(""https://docs.google.com/spreadsheets/d/1MeEWN-I1oV_STSDYn1IFDPWt_1FKiwhDph83XaGc0o0/edit?usp=sharing"",""งบพรบ!FG41"")"),0)</f>
        <v>0</v>
      </c>
      <c r="M394" s="899">
        <f ca="1">IFERROR(__xludf.DUMMYFUNCTION("IMPORTRANGE(""https://docs.google.com/spreadsheets/d/1MeEWN-I1oV_STSDYn1IFDPWt_1FKiwhDph83XaGc0o0/edit?usp=sharing"",""งบพรบ!FL41"")"),0)</f>
        <v>0</v>
      </c>
      <c r="N394" s="899">
        <f ca="1">IFERROR(__xludf.DUMMYFUNCTION("IMPORTRANGE(""https://docs.google.com/spreadsheets/d/1MeEWN-I1oV_STSDYn1IFDPWt_1FKiwhDph83XaGc0o0/edit?usp=sharing"",""งบพรบ!FN41"")"),0)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IFERROR(__xludf.DUMMYFUNCTION("IMPORTRANGE(""https://docs.google.com/spreadsheets/d/1MeEWN-I1oV_STSDYn1IFDPWt_1FKiwhDph83XaGc0o0/edit?usp=sharing"",""งบพรบ!FJ41"")"),0)</f>
        <v>0</v>
      </c>
      <c r="M397" s="899">
        <f ca="1">IFERROR(__xludf.DUMMYFUNCTION("IMPORTRANGE(""https://docs.google.com/spreadsheets/d/1MeEWN-I1oV_STSDYn1IFDPWt_1FKiwhDph83XaGc0o0/edit?usp=sharing"",""งบพรบ!FM41"")"),0)</f>
        <v>0</v>
      </c>
      <c r="N397" s="899">
        <f ca="1">IFERROR(__xludf.DUMMYFUNCTION("IMPORTRANGE(""https://docs.google.com/spreadsheets/d/1MeEWN-I1oV_STSDYn1IFDPWt_1FKiwhDph83XaGc0o0/edit?usp=sharing"",""งบพรบ!FO41"")"),0)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IFERROR(__xludf.DUMMYFUNCTION("IMPORTRANGE(""https://docs.google.com/spreadsheets/d/1MeEWN-I1oV_STSDYn1IFDPWt_1FKiwhDph83XaGc0o0/edit?usp=sharing"",""งบพรบ!FQ41"")"),0)</f>
        <v>0</v>
      </c>
      <c r="M407" s="899">
        <f ca="1">IFERROR(__xludf.DUMMYFUNCTION("IMPORTRANGE(""https://docs.google.com/spreadsheets/d/1MeEWN-I1oV_STSDYn1IFDPWt_1FKiwhDph83XaGc0o0/edit?usp=sharing"",""งบพรบ!FV41"")"),0)</f>
        <v>0</v>
      </c>
      <c r="N407" s="899">
        <f ca="1">IFERROR(__xludf.DUMMYFUNCTION("IMPORTRANGE(""https://docs.google.com/spreadsheets/d/1MeEWN-I1oV_STSDYn1IFDPWt_1FKiwhDph83XaGc0o0/edit?usp=sharing"",""งบพรบ!FX41"")"),0)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IFERROR(__xludf.DUMMYFUNCTION("IMPORTRANGE(""https://docs.google.com/spreadsheets/d/1MeEWN-I1oV_STSDYn1IFDPWt_1FKiwhDph83XaGc0o0/edit?usp=sharing"",""งบพรบ!FT41"")"),0)</f>
        <v>0</v>
      </c>
      <c r="M410" s="899">
        <f ca="1">IFERROR(__xludf.DUMMYFUNCTION("IMPORTRANGE(""https://docs.google.com/spreadsheets/d/1MeEWN-I1oV_STSDYn1IFDPWt_1FKiwhDph83XaGc0o0/edit?usp=sharing"",""งบพรบ!FW41"")"),0)</f>
        <v>0</v>
      </c>
      <c r="N410" s="899">
        <f ca="1">IFERROR(__xludf.DUMMYFUNCTION("IMPORTRANGE(""https://docs.google.com/spreadsheets/d/1MeEWN-I1oV_STSDYn1IFDPWt_1FKiwhDph83XaGc0o0/edit?usp=sharing"",""งบพรบ!FY41"")"),0)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1932863</v>
      </c>
      <c r="M414" s="1293">
        <f t="shared" ca="1" si="181"/>
        <v>1932863</v>
      </c>
      <c r="N414" s="1293">
        <f t="shared" si="181"/>
        <v>950924</v>
      </c>
      <c r="O414" s="1293">
        <f ca="1">IF(L414&gt;0,N414*100/L414,0)</f>
        <v>49.197692749046361</v>
      </c>
      <c r="P414" s="1293">
        <f ca="1">IF(M414&gt;0,N414*100/M414,0)</f>
        <v>49.197692749046361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62640</v>
      </c>
      <c r="O419" s="1004">
        <f t="shared" ref="O419:O424" ca="1" si="185">IF(L419&gt;0,N419*100/L419,0)</f>
        <v>79.633867276887869</v>
      </c>
      <c r="P419" s="1004">
        <f t="shared" ref="P419:P424" ca="1" si="186">IF(M419&gt;0,N419*100/M419,0)</f>
        <v>79.633867276887869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62640</v>
      </c>
      <c r="O421" s="899">
        <f t="shared" ca="1" si="185"/>
        <v>79.633867276887869</v>
      </c>
      <c r="P421" s="899">
        <f t="shared" ca="1" si="186"/>
        <v>79.633867276887869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62640</v>
      </c>
      <c r="O422" s="893">
        <f t="shared" ca="1" si="185"/>
        <v>79.633867276887869</v>
      </c>
      <c r="P422" s="893">
        <f t="shared" ca="1" si="186"/>
        <v>79.633867276887869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IFERROR(__xludf.DUMMYFUNCTION("IMPORTRANGE(""https://docs.google.com/spreadsheets/d/1QqKyyYR6Q21VydFLVH3TRQUabQu_ym0Zz7PgGX0-kHA/edit?usp=sharing"",""แผน!EY41"")"),78660)</f>
        <v>78660</v>
      </c>
      <c r="M424" s="899">
        <f ca="1">L424</f>
        <v>78660</v>
      </c>
      <c r="N424" s="899">
        <f>N425+N426+N427+N428</f>
        <v>62640</v>
      </c>
      <c r="O424" s="899">
        <f t="shared" ca="1" si="185"/>
        <v>79.633867276887869</v>
      </c>
      <c r="P424" s="899">
        <f t="shared" ca="1" si="186"/>
        <v>79.633867276887869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47480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f>8660+3230+3270</f>
        <v>15160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IFERROR(__xludf.DUMMYFUNCTION("IMPORTRANGE(""https://docs.google.com/spreadsheets/d/1QqKyyYR6Q21VydFLVH3TRQUabQu_ym0Zz7PgGX0-kHA/edit?usp=sharing"",""แผน!FB41"")"),0)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IFERROR(__xludf.DUMMYFUNCTION("IMPORTRANGE(""https://docs.google.com/spreadsheets/d/1QqKyyYR6Q21VydFLVH3TRQUabQu_ym0Zz7PgGX0-kHA/edit?usp=sharing"",""แผน!FE41"")"),0)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IFERROR(__xludf.DUMMYFUNCTION("IMPORTRANGE(""https://docs.google.com/spreadsheets/d/1QqKyyYR6Q21VydFLVH3TRQUabQu_ym0Zz7PgGX0-kHA/edit?usp=sharing"",""แผน!FG41"")"),1)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IFERROR(__xludf.DUMMYFUNCTION("IMPORTRANGE(""https://docs.google.com/spreadsheets/d/1QqKyyYR6Q21VydFLVH3TRQUabQu_ym0Zz7PgGX0-kHA/edit?usp=sharing"",""แผน!FH41"")"),0)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100</v>
      </c>
      <c r="J442" s="1322">
        <f t="shared" si="195"/>
        <v>100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280</v>
      </c>
      <c r="J443" s="1306">
        <f t="shared" si="196"/>
        <v>280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616680</v>
      </c>
      <c r="M444" s="1032">
        <f t="shared" ca="1" si="197"/>
        <v>616680</v>
      </c>
      <c r="N444" s="1032">
        <f t="shared" si="197"/>
        <v>443756</v>
      </c>
      <c r="O444" s="1032">
        <f t="shared" ref="O444:O449" ca="1" si="198">IF(L444&gt;0,N444*100/L444,0)</f>
        <v>71.95887656483103</v>
      </c>
      <c r="P444" s="1032">
        <f t="shared" ref="P444:P449" ca="1" si="199">IF(M444&gt;0,N444*100/M444,0)</f>
        <v>71.95887656483103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616680</v>
      </c>
      <c r="M446" s="899">
        <f t="shared" ca="1" si="200"/>
        <v>616680</v>
      </c>
      <c r="N446" s="899">
        <f t="shared" si="200"/>
        <v>443756</v>
      </c>
      <c r="O446" s="899">
        <f t="shared" ca="1" si="198"/>
        <v>71.95887656483103</v>
      </c>
      <c r="P446" s="899">
        <f t="shared" ca="1" si="199"/>
        <v>71.95887656483103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616680</v>
      </c>
      <c r="M447" s="893">
        <f t="shared" ca="1" si="201"/>
        <v>616680</v>
      </c>
      <c r="N447" s="893">
        <f t="shared" si="201"/>
        <v>443756</v>
      </c>
      <c r="O447" s="893">
        <f t="shared" ca="1" si="198"/>
        <v>71.95887656483103</v>
      </c>
      <c r="P447" s="893">
        <f t="shared" ca="1" si="199"/>
        <v>71.95887656483103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IFERROR(__xludf.DUMMYFUNCTION("IMPORTRANGE(""https://docs.google.com/spreadsheets/d/1QqKyyYR6Q21VydFLVH3TRQUabQu_ym0Zz7PgGX0-kHA/edit?usp=sharing"",""แผน!FJ41"")"),616680)</f>
        <v>616680</v>
      </c>
      <c r="M449" s="899">
        <f ca="1">L449</f>
        <v>616680</v>
      </c>
      <c r="N449" s="899">
        <f>N450+N451+N452+N453</f>
        <v>443756</v>
      </c>
      <c r="O449" s="899">
        <f t="shared" ca="1" si="198"/>
        <v>71.95887656483103</v>
      </c>
      <c r="P449" s="899">
        <f t="shared" ca="1" si="199"/>
        <v>71.95887656483103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74680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264600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64566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f>8380+6000+1480+1760+5490+16800</f>
        <v>39910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IFERROR(__xludf.DUMMYFUNCTION("IMPORTRANGE(""https://docs.google.com/spreadsheets/d/1QqKyyYR6Q21VydFLVH3TRQUabQu_ym0Zz7PgGX0-kHA/edit?usp=sharing"",""แผน!FM41"")"),0)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IFERROR(__xludf.DUMMYFUNCTION("IMPORTRANGE(""https://docs.google.com/spreadsheets/d/1QqKyyYR6Q21VydFLVH3TRQUabQu_ym0Zz7PgGX0-kHA/edit?usp=sharing"",""แผน!FN41"")"),100)</f>
        <v>100</v>
      </c>
      <c r="J460" s="1024">
        <v>100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IFERROR(__xludf.DUMMYFUNCTION("IMPORTRANGE(""https://docs.google.com/spreadsheets/d/1QqKyyYR6Q21VydFLVH3TRQUabQu_ym0Zz7PgGX0-kHA/edit?usp=sharing"",""แผน!FO41"")"),280)</f>
        <v>280</v>
      </c>
      <c r="J462" s="1024">
        <v>280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IFERROR(__xludf.DUMMYFUNCTION("IMPORTRANGE(""https://docs.google.com/spreadsheets/d/1QqKyyYR6Q21VydFLVH3TRQUabQu_ym0Zz7PgGX0-kHA/edit?usp=sharing"",""แผน!FO41"")"),280)</f>
        <v>280</v>
      </c>
      <c r="J463" s="1024">
        <v>280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IFERROR(__xludf.DUMMYFUNCTION("IMPORTRANGE(""https://docs.google.com/spreadsheets/d/1QqKyyYR6Q21VydFLVH3TRQUabQu_ym0Zz7PgGX0-kHA/edit?usp=sharing"",""แผน!FN41"")"),100)</f>
        <v>100</v>
      </c>
      <c r="J464" s="1024">
        <v>100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IFERROR(__xludf.DUMMYFUNCTION("IMPORTRANGE(""https://docs.google.com/spreadsheets/d/1QqKyyYR6Q21VydFLVH3TRQUabQu_ym0Zz7PgGX0-kHA/edit?usp=sharing"",""แผน!FX41"")"),61)</f>
        <v>61</v>
      </c>
      <c r="J465" s="1322">
        <f>J485+J489+J492</f>
        <v>61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IFERROR(__xludf.DUMMYFUNCTION("IMPORTRANGE(""https://docs.google.com/spreadsheets/d/1QqKyyYR6Q21VydFLVH3TRQUabQu_ym0Zz7PgGX0-kHA/edit?usp=sharing"",""แผน!FW41"")"),600)</f>
        <v>600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491703</v>
      </c>
      <c r="M467" s="1032">
        <f t="shared" ca="1" si="206"/>
        <v>491703</v>
      </c>
      <c r="N467" s="1032">
        <f t="shared" si="206"/>
        <v>89500</v>
      </c>
      <c r="O467" s="1032">
        <f t="shared" ref="O467:O472" ca="1" si="207">IF(L467&gt;0,N467*100/L467,0)</f>
        <v>18.202044730253832</v>
      </c>
      <c r="P467" s="1032">
        <f t="shared" ref="P467:P472" ca="1" si="208">IF(M467&gt;0,N467*100/M467,0)</f>
        <v>18.202044730253832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491703</v>
      </c>
      <c r="M469" s="899">
        <f t="shared" ca="1" si="209"/>
        <v>491703</v>
      </c>
      <c r="N469" s="899">
        <f t="shared" si="209"/>
        <v>89500</v>
      </c>
      <c r="O469" s="899">
        <f t="shared" ca="1" si="207"/>
        <v>18.202044730253832</v>
      </c>
      <c r="P469" s="899">
        <f t="shared" ca="1" si="208"/>
        <v>18.202044730253832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491703</v>
      </c>
      <c r="M470" s="893">
        <f t="shared" ca="1" si="210"/>
        <v>491703</v>
      </c>
      <c r="N470" s="893">
        <f t="shared" si="210"/>
        <v>89500</v>
      </c>
      <c r="O470" s="893">
        <f t="shared" ca="1" si="207"/>
        <v>18.202044730253832</v>
      </c>
      <c r="P470" s="893">
        <f t="shared" ca="1" si="208"/>
        <v>18.202044730253832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IFERROR(__xludf.DUMMYFUNCTION("IMPORTRANGE(""https://docs.google.com/spreadsheets/d/1QqKyyYR6Q21VydFLVH3TRQUabQu_ym0Zz7PgGX0-kHA/edit?usp=sharing"",""แผน!FS41"")"),491703)</f>
        <v>491703</v>
      </c>
      <c r="M472" s="899">
        <f ca="1">L472</f>
        <v>491703</v>
      </c>
      <c r="N472" s="899">
        <f>N473+N474+N475+N476</f>
        <v>89500</v>
      </c>
      <c r="O472" s="899">
        <f t="shared" ca="1" si="207"/>
        <v>18.202044730253832</v>
      </c>
      <c r="P472" s="899">
        <f t="shared" ca="1" si="208"/>
        <v>18.202044730253832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f>59850+7400</f>
        <v>67250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14180+3350+1300+2300+1120</f>
        <v>22250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IFERROR(__xludf.DUMMYFUNCTION("IMPORTRANGE(""https://docs.google.com/spreadsheets/d/1QqKyyYR6Q21VydFLVH3TRQUabQu_ym0Zz7PgGX0-kHA/edit?usp=sharing"",""แผน!FV41"")"),0)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IFERROR(__xludf.DUMMYFUNCTION("IMPORTRANGE(""https://docs.google.com/spreadsheets/d/1QqKyyYR6Q21VydFLVH3TRQUabQu_ym0Zz7PgGX0-kHA/edit?usp=sharing"",""แผน!FY41"")"),540)</f>
        <v>540</v>
      </c>
      <c r="J483" s="1024">
        <v>540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IFERROR(__xludf.DUMMYFUNCTION("IMPORTRANGE(""https://docs.google.com/spreadsheets/d/1QqKyyYR6Q21VydFLVH3TRQUabQu_ym0Zz7PgGX0-kHA/edit?usp=sharing"",""แผน!FZ41"")"),54)</f>
        <v>54</v>
      </c>
      <c r="J485" s="1024">
        <v>54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IFERROR(__xludf.DUMMYFUNCTION("IMPORTRANGE(""https://docs.google.com/spreadsheets/d/1QqKyyYR6Q21VydFLVH3TRQUabQu_ym0Zz7PgGX0-kHA/edit?usp=sharing"",""แผน!GA41"")"),60)</f>
        <v>60</v>
      </c>
      <c r="J487" s="1024">
        <v>60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IFERROR(__xludf.DUMMYFUNCTION("IMPORTRANGE(""https://docs.google.com/spreadsheets/d/1QqKyyYR6Q21VydFLVH3TRQUabQu_ym0Zz7PgGX0-kHA/edit?usp=sharing"",""แผน!GB41"")"),6)</f>
        <v>6</v>
      </c>
      <c r="J489" s="1024">
        <v>6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IFERROR(__xludf.DUMMYFUNCTION("IMPORTRANGE(""https://docs.google.com/spreadsheets/d/1QqKyyYR6Q21VydFLVH3TRQUabQu_ym0Zz7PgGX0-kHA/edit?usp=sharing"",""แผน!GC41"")"),1)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IFERROR(__xludf.DUMMYFUNCTION("IMPORTRANGE(""https://docs.google.com/spreadsheets/d/1QqKyyYR6Q21VydFLVH3TRQUabQu_ym0Zz7PgGX0-kHA/edit?usp=sharing"",""แผน!FY41"")"),540)</f>
        <v>540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IFERROR(__xludf.DUMMYFUNCTION("IMPORTRANGE(""https://docs.google.com/spreadsheets/d/1QqKyyYR6Q21VydFLVH3TRQUabQu_ym0Zz7PgGX0-kHA/edit?usp=sharing"",""แผน!GA41"")"),60)</f>
        <v>60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IFERROR(__xludf.DUMMYFUNCTION("IMPORTRANGE(""https://docs.google.com/spreadsheets/d/1QqKyyYR6Q21VydFLVH3TRQUabQu_ym0Zz7PgGX0-kHA/edit?usp=sharing"",""แผน!GQ41"")"),0)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IFERROR(__xludf.DUMMYFUNCTION("IMPORTRANGE(""https://docs.google.com/spreadsheets/d/1QqKyyYR6Q21VydFLVH3TRQUabQu_ym0Zz7PgGX0-kHA/edit?usp=sharing"",""แผน!GT41"")"),0)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IFERROR(__xludf.DUMMYFUNCTION("IMPORTRANGE(""https://docs.google.com/spreadsheets/d/1QqKyyYR6Q21VydFLVH3TRQUabQu_ym0Zz7PgGX0-kHA/edit?usp=sharing"",""แผน!GU41"")"),0)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IFERROR(__xludf.DUMMYFUNCTION("IMPORTRANGE(""https://docs.google.com/spreadsheets/d/1QqKyyYR6Q21VydFLVH3TRQUabQu_ym0Zz7PgGX0-kHA/edit?usp=sharing"",""แผน!GV41"")"),0)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IFERROR(__xludf.DUMMYFUNCTION("IMPORTRANGE(""https://docs.google.com/spreadsheets/d/1QqKyyYR6Q21VydFLVH3TRQUabQu_ym0Zz7PgGX0-kHA/edit?usp=sharing"",""แผน!GW41"")"),0)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IFERROR(__xludf.DUMMYFUNCTION("IMPORTRANGE(""https://docs.google.com/spreadsheets/d/1QqKyyYR6Q21VydFLVH3TRQUabQu_ym0Zz7PgGX0-kHA/edit?usp=sharing"",""แผน!GX41"")"),0)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IFERROR(__xludf.DUMMYFUNCTION("IMPORTRANGE(""https://docs.google.com/spreadsheets/d/1QqKyyYR6Q21VydFLVH3TRQUabQu_ym0Zz7PgGX0-kHA/edit?usp=sharing"",""แผน!GY41"")"),0)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IFERROR(__xludf.DUMMYFUNCTION("IMPORTRANGE(""https://docs.google.com/spreadsheets/d/1QqKyyYR6Q21VydFLVH3TRQUabQu_ym0Zz7PgGX0-kHA/edit?usp=sharing"",""แผน!GZ41"")"),0)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38042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326325</v>
      </c>
      <c r="M544" s="1004">
        <f t="shared" ca="1" si="236"/>
        <v>326325</v>
      </c>
      <c r="N544" s="1004">
        <f t="shared" si="236"/>
        <v>143145</v>
      </c>
      <c r="O544" s="1004">
        <f t="shared" ref="O544:O549" ca="1" si="237">IF(L544&gt;0,N544*100/L544,0)</f>
        <v>43.865777982073084</v>
      </c>
      <c r="P544" s="1004">
        <f t="shared" ref="P544:P549" ca="1" si="238">IF(M544&gt;0,N544*100/M544,0)</f>
        <v>43.865777982073084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326325</v>
      </c>
      <c r="M546" s="899">
        <f t="shared" ca="1" si="240"/>
        <v>326325</v>
      </c>
      <c r="N546" s="899">
        <f t="shared" si="240"/>
        <v>143145</v>
      </c>
      <c r="O546" s="899">
        <f t="shared" ca="1" si="237"/>
        <v>43.865777982073084</v>
      </c>
      <c r="P546" s="899">
        <f t="shared" ca="1" si="238"/>
        <v>43.865777982073084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326325</v>
      </c>
      <c r="M547" s="893">
        <f t="shared" ca="1" si="241"/>
        <v>326325</v>
      </c>
      <c r="N547" s="893">
        <f t="shared" si="241"/>
        <v>143145</v>
      </c>
      <c r="O547" s="893">
        <f t="shared" ca="1" si="237"/>
        <v>43.865777982073084</v>
      </c>
      <c r="P547" s="893">
        <f t="shared" ca="1" si="238"/>
        <v>43.865777982073084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IFERROR(__xludf.DUMMYFUNCTION("IMPORTRANGE(""https://docs.google.com/spreadsheets/d/1QqKyyYR6Q21VydFLVH3TRQUabQu_ym0Zz7PgGX0-kHA/edit?usp=sharing"",""แผน!HB41"")"),326325)</f>
        <v>326325</v>
      </c>
      <c r="M549" s="899">
        <f ca="1">L549</f>
        <v>326325</v>
      </c>
      <c r="N549" s="899">
        <f>N550+N551+N552+N553+N554</f>
        <v>143145</v>
      </c>
      <c r="O549" s="899">
        <f t="shared" ca="1" si="237"/>
        <v>43.865777982073084</v>
      </c>
      <c r="P549" s="899">
        <f t="shared" ca="1" si="238"/>
        <v>43.865777982073084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14850+12000+1960+2320+5410+16705+6750+16850+1300</f>
        <v>78145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IFERROR(__xludf.DUMMYFUNCTION("IMPORTRANGE(""https://docs.google.com/spreadsheets/d/1QqKyyYR6Q21VydFLVH3TRQUabQu_ym0Zz7PgGX0-kHA/edit?usp=sharing"",""แผน!HF41"")"),0)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38042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IFERROR(__xludf.DUMMYFUNCTION("IMPORTRANGE(""https://docs.google.com/spreadsheets/d/1QqKyyYR6Q21VydFLVH3TRQUabQu_ym0Zz7PgGX0-kHA/edit?usp=sharing"",""แผน!HH41"")"),38042)</f>
        <v>38042</v>
      </c>
      <c r="J560" s="1030">
        <f t="shared" ref="J560:J561" si="247">J562+J564+J566</f>
        <v>38042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IFERROR(__xludf.DUMMYFUNCTION("IMPORTRANGE(""https://docs.google.com/spreadsheets/d/1QqKyyYR6Q21VydFLVH3TRQUabQu_ym0Zz7PgGX0-kHA/edit?usp=sharing"",""แผน!HG41"")"),3787)</f>
        <v>3787</v>
      </c>
      <c r="J561" s="1030">
        <f t="shared" si="247"/>
        <v>3787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32410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3190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4743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522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889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75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IFERROR(__xludf.DUMMYFUNCTION("IMPORTRANGE(""https://docs.google.com/spreadsheets/d/1QqKyyYR6Q21VydFLVH3TRQUabQu_ym0Zz7PgGX0-kHA/edit?usp=sharing"",""แผน!HH41"")"),38042)</f>
        <v>38042</v>
      </c>
      <c r="J568" s="1031">
        <f t="shared" ref="J568:J569" si="248">J570+J572+J574</f>
        <v>38043</v>
      </c>
      <c r="K568" s="1174">
        <f t="shared" ref="K568:K569" ca="1" si="249">IF(I568&gt;0,J568*100/I568,0)</f>
        <v>100.00262867357132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IFERROR(__xludf.DUMMYFUNCTION("IMPORTRANGE(""https://docs.google.com/spreadsheets/d/1QqKyyYR6Q21VydFLVH3TRQUabQu_ym0Zz7PgGX0-kHA/edit?usp=sharing"",""แผน!HG41"")"),3787)</f>
        <v>3787</v>
      </c>
      <c r="J569" s="1031">
        <f t="shared" si="248"/>
        <v>3787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34701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3485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2383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220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959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82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IFERROR(__xludf.DUMMYFUNCTION("IMPORTRANGE(""https://docs.google.com/spreadsheets/d/1QqKyyYR6Q21VydFLVH3TRQUabQu_ym0Zz7PgGX0-kHA/edit?usp=sharing"",""แผน!HH41"")"),38042)</f>
        <v>38042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IFERROR(__xludf.DUMMYFUNCTION("IMPORTRANGE(""https://docs.google.com/spreadsheets/d/1QqKyyYR6Q21VydFLVH3TRQUabQu_ym0Zz7PgGX0-kHA/edit?usp=sharing"",""แผน!HG41"")"),3787)</f>
        <v>3787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391.38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IFERROR(__xludf.DUMMYFUNCTION("IMPORTRANGE(""https://docs.google.com/spreadsheets/d/1QqKyyYR6Q21VydFLVH3TRQUabQu_ym0Zz7PgGX0-kHA/edit?usp=sharing"",""แผน!HJ41"")"),391.38)</f>
        <v>391.38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IFERROR(__xludf.DUMMYFUNCTION("IMPORTRANGE(""https://docs.google.com/spreadsheets/d/1QqKyyYR6Q21VydFLVH3TRQUabQu_ym0Zz7PgGX0-kHA/edit?usp=sharing"",""แผน!HI41"")"),28)</f>
        <v>28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IFERROR(__xludf.DUMMYFUNCTION("IMPORTRANGE(""https://docs.google.com/spreadsheets/d/1QqKyyYR6Q21VydFLVH3TRQUabQu_ym0Zz7PgGX0-kHA/edit?usp=sharing"",""แผน!HL41"")"),0)</f>
        <v>0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IFERROR(__xludf.DUMMYFUNCTION("IMPORTRANGE(""https://docs.google.com/spreadsheets/d/1QqKyyYR6Q21VydFLVH3TRQUabQu_ym0Zz7PgGX0-kHA/edit?usp=sharing"",""แผน!HK41"")"),0)</f>
        <v>0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205</v>
      </c>
      <c r="J628" s="1438">
        <f t="shared" ca="1" si="262"/>
        <v>106</v>
      </c>
      <c r="K628" s="1439">
        <f ca="1">IF(I628&gt;0,J628*100/I628,0)</f>
        <v>51.707317073170735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419495</v>
      </c>
      <c r="M629" s="1032">
        <f t="shared" ca="1" si="263"/>
        <v>419495</v>
      </c>
      <c r="N629" s="1032">
        <f t="shared" si="263"/>
        <v>211883</v>
      </c>
      <c r="O629" s="1032">
        <f t="shared" ref="O629:O634" ca="1" si="264">IF(L629&gt;0,N629*100/L629,0)</f>
        <v>50.509064470375094</v>
      </c>
      <c r="P629" s="1032">
        <f t="shared" ref="P629:P634" ca="1" si="265">IF(M629&gt;0,N629*100/M629,0)</f>
        <v>50.509064470375094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419495</v>
      </c>
      <c r="M631" s="899">
        <f t="shared" ca="1" si="266"/>
        <v>419495</v>
      </c>
      <c r="N631" s="899">
        <f t="shared" si="266"/>
        <v>211883</v>
      </c>
      <c r="O631" s="899">
        <f t="shared" ca="1" si="264"/>
        <v>50.509064470375094</v>
      </c>
      <c r="P631" s="899">
        <f t="shared" ca="1" si="265"/>
        <v>50.509064470375094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419495</v>
      </c>
      <c r="M632" s="893">
        <f t="shared" ca="1" si="267"/>
        <v>419495</v>
      </c>
      <c r="N632" s="893">
        <f t="shared" si="267"/>
        <v>211883</v>
      </c>
      <c r="O632" s="893">
        <f t="shared" ca="1" si="264"/>
        <v>50.509064470375094</v>
      </c>
      <c r="P632" s="893">
        <f t="shared" ca="1" si="265"/>
        <v>50.509064470375094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IFERROR(__xludf.DUMMYFUNCTION("IMPORTRANGE(""https://docs.google.com/spreadsheets/d/1QqKyyYR6Q21VydFLVH3TRQUabQu_ym0Zz7PgGX0-kHA/edit?usp=sharing"",""แผน!HN41"")"),419495)</f>
        <v>419495</v>
      </c>
      <c r="M634" s="899">
        <f ca="1">L634</f>
        <v>419495</v>
      </c>
      <c r="N634" s="899">
        <f>N635+N636+N637+N638</f>
        <v>211883</v>
      </c>
      <c r="O634" s="899">
        <f t="shared" ca="1" si="264"/>
        <v>50.509064470375094</v>
      </c>
      <c r="P634" s="899">
        <f t="shared" ca="1" si="265"/>
        <v>50.509064470375094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63700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9400+18000+11160+14938+14540+16200+26420+37525</f>
        <v>148183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IFERROR(__xludf.DUMMYFUNCTION("IMPORTRANGE(""https://docs.google.com/spreadsheets/d/1QqKyyYR6Q21VydFLVH3TRQUabQu_ym0Zz7PgGX0-kHA/edit?usp=sharing"",""แผน!HQ41"")"),0)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IFERROR(__xludf.DUMMYFUNCTION("IMPORTRANGE(""https://docs.google.com/spreadsheets/d/1QqKyyYR6Q21VydFLVH3TRQUabQu_ym0Zz7PgGX0-kHA/edit?usp=sharing"",""แผน!HR41"")"),0)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IFERROR(__xludf.DUMMYFUNCTION("IMPORTRANGE(""https://docs.google.com/spreadsheets/d/1QqKyyYR6Q21VydFLVH3TRQUabQu_ym0Zz7PgGX0-kHA/edit?usp=sharing"",""แผน!HR41"")"),0)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IFERROR(__xludf.DUMMYFUNCTION("IMPORTRANGE(""https://docs.google.com/spreadsheets/d/1XWAQStnk-4SwqDmLtmXYiTMKHgktTP8We1SCoS47DrQ/edit?usp=sharing"",""จัดที่ดิน!AS41"")"),103)</f>
        <v>103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IFERROR(__xludf.DUMMYFUNCTION("IMPORTRANGE(""https://docs.google.com/spreadsheets/d/1XWAQStnk-4SwqDmLtmXYiTMKHgktTP8We1SCoS47DrQ/edit?usp=sharing"",""จัดที่ดิน!AT41"")"),49.12)</f>
        <v>49.12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IFERROR(__xludf.DUMMYFUNCTION("IMPORTRANGE(""https://docs.google.com/spreadsheets/d/1QqKyyYR6Q21VydFLVH3TRQUabQu_ym0Zz7PgGX0-kHA/edit?usp=sharing"",""แผน!HS41"")"),205)</f>
        <v>205</v>
      </c>
      <c r="J647" s="892">
        <f ca="1">IFERROR(__xludf.DUMMYFUNCTION("IMPORTRANGE(""https://docs.google.com/spreadsheets/d/1XWAQStnk-4SwqDmLtmXYiTMKHgktTP8We1SCoS47DrQ/edit?usp=sharing"",""จัดที่ดิน!AU41"")"),103)</f>
        <v>103</v>
      </c>
      <c r="K647" s="1010">
        <f t="shared" ca="1" si="271"/>
        <v>50.243902439024389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IFERROR(__xludf.DUMMYFUNCTION("IMPORTRANGE(""https://docs.google.com/spreadsheets/d/1XWAQStnk-4SwqDmLtmXYiTMKHgktTP8We1SCoS47DrQ/edit?usp=sharing"",""จัดที่ดิน!AV41"")"),49.88)</f>
        <v>49.88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IFERROR(__xludf.DUMMYFUNCTION("IMPORTRANGE(""https://docs.google.com/spreadsheets/d/1QqKyyYR6Q21VydFLVH3TRQUabQu_ym0Zz7PgGX0-kHA/edit?usp=sharing"",""แผน!HS41"")"),205)</f>
        <v>205</v>
      </c>
      <c r="J649" s="892">
        <f ca="1">IFERROR(__xludf.DUMMYFUNCTION("IMPORTRANGE(""https://docs.google.com/spreadsheets/d/1XWAQStnk-4SwqDmLtmXYiTMKHgktTP8We1SCoS47DrQ/edit?usp=sharing"",""จัดที่ดิน!AW41"")"),109)</f>
        <v>109</v>
      </c>
      <c r="K649" s="1010">
        <f t="shared" ca="1" si="271"/>
        <v>53.170731707317074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IFERROR(__xludf.DUMMYFUNCTION("IMPORTRANGE(""https://docs.google.com/spreadsheets/d/1XWAQStnk-4SwqDmLtmXYiTMKHgktTP8We1SCoS47DrQ/edit?usp=sharing"",""จัดที่ดิน!AX41"")"),51.91)</f>
        <v>51.91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IFERROR(__xludf.DUMMYFUNCTION("IMPORTRANGE(""https://docs.google.com/spreadsheets/d/1QqKyyYR6Q21VydFLVH3TRQUabQu_ym0Zz7PgGX0-kHA/edit?usp=sharing"",""แผน!HS41"")"),205)</f>
        <v>205</v>
      </c>
      <c r="J651" s="892">
        <f ca="1">IFERROR(__xludf.DUMMYFUNCTION("IMPORTRANGE(""https://docs.google.com/spreadsheets/d/1XWAQStnk-4SwqDmLtmXYiTMKHgktTP8We1SCoS47DrQ/edit?usp=sharing"",""จัดที่ดิน!AY41"")"),106)</f>
        <v>106</v>
      </c>
      <c r="K651" s="1010">
        <f t="shared" ca="1" si="271"/>
        <v>51.707317073170735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IFERROR(__xludf.DUMMYFUNCTION("IMPORTRANGE(""https://docs.google.com/spreadsheets/d/1XWAQStnk-4SwqDmLtmXYiTMKHgktTP8We1SCoS47DrQ/edit?usp=sharing"",""จัดที่ดิน!AZ41"")"),41.86)</f>
        <v>41.86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 hidden="1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IFERROR(__xludf.DUMMYFUNCTION("IMPORTRANGE(""https://docs.google.com/spreadsheets/d/1QqKyyYR6Q21VydFLVH3TRQUabQu_ym0Zz7PgGX0-kHA/edit?usp=sharing"",""แผน!HV41"")"),0)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IFERROR(__xludf.DUMMYFUNCTION("IMPORTRANGE(""https://docs.google.com/spreadsheets/d/1QqKyyYR6Q21VydFLVH3TRQUabQu_ym0Zz7PgGX0-kHA/edit?usp=sharing"",""แผน!IA41"")"),0)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IFERROR(__xludf.DUMMYFUNCTION("IMPORTRANGE(""https://docs.google.com/spreadsheets/d/1QqKyyYR6Q21VydFLVH3TRQUabQu_ym0Zz7PgGX0-kHA/edit?usp=sharing"",""แผน!HZ41"")"),0)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IFERROR(__xludf.DUMMYFUNCTION("IMPORTRANGE(""https://docs.google.com/spreadsheets/d/1QqKyyYR6Q21VydFLVH3TRQUabQu_ym0Zz7PgGX0-kHA/edit?usp=sharing"",""แผน!HZ41"")"),0)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IFERROR(__xludf.DUMMYFUNCTION("IMPORTRANGE(""https://docs.google.com/spreadsheets/d/1QqKyyYR6Q21VydFLVH3TRQUabQu_ym0Zz7PgGX0-kHA/edit?usp=sharing"",""แผน!IB41"")"),0)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 hidden="1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 hidden="1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0</v>
      </c>
      <c r="M685" s="1032">
        <f t="shared" si="282"/>
        <v>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0</v>
      </c>
      <c r="M687" s="899">
        <f t="shared" si="285"/>
        <v>0</v>
      </c>
      <c r="N687" s="899">
        <f t="shared" si="285"/>
        <v>0</v>
      </c>
      <c r="O687" s="899">
        <f t="shared" ca="1" si="283"/>
        <v>0</v>
      </c>
      <c r="P687" s="899">
        <f t="shared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 hidden="1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0</v>
      </c>
      <c r="M688" s="893">
        <f t="shared" si="286"/>
        <v>0</v>
      </c>
      <c r="N688" s="893">
        <f t="shared" si="286"/>
        <v>0</v>
      </c>
      <c r="O688" s="893">
        <f t="shared" ca="1" si="283"/>
        <v>0</v>
      </c>
      <c r="P688" s="893">
        <f t="shared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IFERROR(__xludf.DUMMYFUNCTION("IMPORTRANGE(""https://docs.google.com/spreadsheets/d/1QqKyyYR6Q21VydFLVH3TRQUabQu_ym0Zz7PgGX0-kHA/edit?usp=sharing"",""แผน!HW41"")"),0)</f>
        <v>0</v>
      </c>
      <c r="M690" s="899">
        <v>0</v>
      </c>
      <c r="N690" s="899">
        <f>N691+N692+N693+N694</f>
        <v>0</v>
      </c>
      <c r="O690" s="899">
        <f ca="1">IF(L690&gt;0,N690*100/L690,0)</f>
        <v>0</v>
      </c>
      <c r="P690" s="899">
        <f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 hidden="1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 hidden="1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 hidden="1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 hidden="1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 hidden="1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 hidden="1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 hidden="1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IFERROR(__xludf.DUMMYFUNCTION("IMPORTRANGE(""https://docs.google.com/spreadsheets/d/1QqKyyYR6Q21VydFLVH3TRQUabQu_ym0Zz7PgGX0-kHA/edit?usp=sharing"",""แผน!IC41"")"),0)</f>
        <v>0</v>
      </c>
      <c r="J699" s="892">
        <f ca="1">IFERROR(__xludf.DUMMYFUNCTION("IMPORTRANGE(""https://docs.google.com/spreadsheets/d/1XWAQStnk-4SwqDmLtmXYiTMKHgktTP8We1SCoS47DrQ/edit?usp=sharing"",""จัดที่ดิน!BB41"")"),0)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 hidden="1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IFERROR(__xludf.DUMMYFUNCTION("IMPORTRANGE(""https://docs.google.com/spreadsheets/d/1QqKyyYR6Q21VydFLVH3TRQUabQu_ym0Zz7PgGX0-kHA/edit?usp=sharing"",""แผน!ID41"")"),0)</f>
        <v>0</v>
      </c>
      <c r="J700" s="892">
        <f ca="1">IFERROR(__xludf.DUMMYFUNCTION("IMPORTRANGE(""https://docs.google.com/spreadsheets/d/1XWAQStnk-4SwqDmLtmXYiTMKHgktTP8We1SCoS47DrQ/edit?usp=sharing"",""จัดที่ดิน!BD41"")"),0)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IFERROR(__xludf.DUMMYFUNCTION("IMPORTRANGE(""https://docs.google.com/spreadsheets/d/1QqKyyYR6Q21VydFLVH3TRQUabQu_ym0Zz7PgGX0-kHA/edit?usp=sharing"",""แผน!IE41"")"),0)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IFERROR(__xludf.DUMMYFUNCTION("IMPORTRANGE(""https://docs.google.com/spreadsheets/d/1QqKyyYR6Q21VydFLVH3TRQUabQu_ym0Zz7PgGX0-kHA/edit?usp=sharing"",""แผน!IF41"")"),0)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IFERROR(__xludf.DUMMYFUNCTION("IMPORTRANGE(""https://docs.google.com/spreadsheets/d/1QqKyyYR6Q21VydFLVH3TRQUabQu_ym0Zz7PgGX0-kHA/edit?usp=sharing"",""แผน!IG41"")"),0)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IFERROR(__xludf.DUMMYFUNCTION("IMPORTRANGE(""https://docs.google.com/spreadsheets/d/1QqKyyYR6Q21VydFLVH3TRQUabQu_ym0Zz7PgGX0-kHA/edit?usp=sharing"",""แผน!IH41"")"),0)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IFERROR(__xludf.DUMMYFUNCTION("IMPORTRANGE(""https://docs.google.com/spreadsheets/d/1XWAQStnk-4SwqDmLtmXYiTMKHgktTP8We1SCoS47DrQ/edit?usp=sharing"",""จัดที่ดิน!BF41"")"),0)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IFERROR(__xludf.DUMMYFUNCTION("IMPORTRANGE(""https://docs.google.com/spreadsheets/d/1XWAQStnk-4SwqDmLtmXYiTMKHgktTP8We1SCoS47DrQ/edit?usp=sharing"",""จัดที่ดิน!BG41"")"),0)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IFERROR(__xludf.DUMMYFUNCTION("IMPORTRANGE(""https://docs.google.com/spreadsheets/d/1QqKyyYR6Q21VydFLVH3TRQUabQu_ym0Zz7PgGX0-kHA/edit?usp=sharing"",""แผน!II41"")"),0)</f>
        <v>0</v>
      </c>
      <c r="J720" s="892">
        <f ca="1">IFERROR(__xludf.DUMMYFUNCTION("IMPORTRANGE(""https://docs.google.com/spreadsheets/d/1XWAQStnk-4SwqDmLtmXYiTMKHgktTP8We1SCoS47DrQ/edit?usp=sharing"",""จัดที่ดิน!BH41"")"),0)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IFERROR(__xludf.DUMMYFUNCTION("IMPORTRANGE(""https://docs.google.com/spreadsheets/d/1QqKyyYR6Q21VydFLVH3TRQUabQu_ym0Zz7PgGX0-kHA/edit?usp=sharing"",""แผน!IJ41"")"),0)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IFERROR(__xludf.DUMMYFUNCTION("IMPORTRANGE(""https://docs.google.com/spreadsheets/d/1QqKyyYR6Q21VydFLVH3TRQUabQu_ym0Zz7PgGX0-kHA/edit?usp=sharing"",""แผน!IK41"")"),0)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IFERROR(__xludf.DUMMYFUNCTION("IMPORTRANGE(""https://docs.google.com/spreadsheets/d/1QqKyyYR6Q21VydFLVH3TRQUabQu_ym0Zz7PgGX0-kHA/edit?usp=sharing"",""แผน!IL41"")"),0)</f>
        <v>0</v>
      </c>
      <c r="J723" s="892">
        <f ca="1">IFERROR(__xludf.DUMMYFUNCTION("IMPORTRANGE(""https://docs.google.com/spreadsheets/d/1XWAQStnk-4SwqDmLtmXYiTMKHgktTP8We1SCoS47DrQ/edit?usp=sharing"",""จัดที่ดิน!BM41"")"),0)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IFERROR(__xludf.DUMMYFUNCTION("IMPORTRANGE(""https://docs.google.com/spreadsheets/d/1XWAQStnk-4SwqDmLtmXYiTMKHgktTP8We1SCoS47DrQ/edit?usp=sharing"",""จัดที่ดิน!BN41"")"),0)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IFERROR(__xludf.DUMMYFUNCTION("IMPORTRANGE(""https://docs.google.com/spreadsheets/d/1QqKyyYR6Q21VydFLVH3TRQUabQu_ym0Zz7PgGX0-kHA/edit?usp=sharing"",""แผน!IM41"")"),0)</f>
        <v>0</v>
      </c>
      <c r="J725" s="892">
        <f ca="1">IFERROR(__xludf.DUMMYFUNCTION("IMPORTRANGE(""https://docs.google.com/spreadsheets/d/1XWAQStnk-4SwqDmLtmXYiTMKHgktTP8We1SCoS47DrQ/edit?usp=sharing"",""จัดที่ดิน!BO41"")"),0)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IFERROR(__xludf.DUMMYFUNCTION("IMPORTRANGE(""https://docs.google.com/spreadsheets/d/1QqKyyYR6Q21VydFLVH3TRQUabQu_ym0Zz7PgGX0-kHA/edit?usp=sharing"",""แผน!IN41"")"),0)</f>
        <v>0</v>
      </c>
      <c r="J726" s="892">
        <f ca="1">IFERROR(__xludf.DUMMYFUNCTION("IMPORTRANGE(""https://docs.google.com/spreadsheets/d/1XWAQStnk-4SwqDmLtmXYiTMKHgktTP8We1SCoS47DrQ/edit?usp=sharing"",""จัดที่ดิน!BR41"")"),0)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IFERROR(__xludf.DUMMYFUNCTION("IMPORTRANGE(""https://docs.google.com/spreadsheets/d/1XWAQStnk-4SwqDmLtmXYiTMKHgktTP8We1SCoS47DrQ/edit?usp=sharing"",""จัดที่ดิน!BS41"")"),0)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IFERROR(__xludf.DUMMYFUNCTION("IMPORTRANGE(""https://docs.google.com/spreadsheets/d/1QqKyyYR6Q21VydFLVH3TRQUabQu_ym0Zz7PgGX0-kHA/edit?usp=sharing"",""แผน!IO41"")"),0)</f>
        <v>0</v>
      </c>
      <c r="J728" s="892">
        <f ca="1">IFERROR(__xludf.DUMMYFUNCTION("IMPORTRANGE(""https://docs.google.com/spreadsheets/d/1XWAQStnk-4SwqDmLtmXYiTMKHgktTP8We1SCoS47DrQ/edit?usp=sharing"",""จัดที่ดิน!BT41"")"),0)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IFERROR(__xludf.DUMMYFUNCTION("IMPORTRANGE(""https://docs.google.com/spreadsheets/d/1QqKyyYR6Q21VydFLVH3TRQUabQu_ym0Zz7PgGX0-kHA/edit?usp=sharing"",""แผน!IP41"")"),0)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IFERROR(__xludf.DUMMYFUNCTION("IMPORTRANGE(""https://docs.google.com/spreadsheets/d/1QqKyyYR6Q21VydFLVH3TRQUabQu_ym0Zz7PgGX0-kHA/edit?usp=sharing"",""แผน!JJ41"")"),0)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IFERROR(__xludf.DUMMYFUNCTION("IMPORTRANGE(""https://docs.google.com/spreadsheets/d/1QqKyyYR6Q21VydFLVH3TRQUabQu_ym0Zz7PgGX0-kHA/edit?usp=sharing"",""แผน!JN41"")"),0)</f>
        <v>0</v>
      </c>
      <c r="J800" s="1009">
        <f ca="1">IFERROR(__xludf.DUMMYFUNCTION("IMPORTRANGE(""https://docs.google.com/spreadsheets/d/1MaWodYyGHDf7siQLGxnXhG4mBNTNIuy296niS2xXulU/edit?usp=sharing"",""RTK!H41"")"),0)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IFERROR(__xludf.DUMMYFUNCTION("IMPORTRANGE(""https://docs.google.com/spreadsheets/d/1MaWodYyGHDf7siQLGxnXhG4mBNTNIuy296niS2xXulU/edit?usp=sharing"",""RTK!I41"")"),0)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892">
        <f ca="1">IFERROR(__xludf.DUMMYFUNCTION("IMPORTRANGE(""https://docs.google.com/spreadsheets/d/19vJNZY_5yjcGF2XGBMNZRCAIB0Kwfpjp8YEOfu-bneM/edit?usp=sharing"",""งานกองทุน!F41"")"),3726953.18)</f>
        <v>3726953.18</v>
      </c>
      <c r="K821" s="893">
        <f t="shared" ref="K821:K828" ca="1" si="335">IF(I821&gt;0,J821*100/I821,0)</f>
        <v>53.069602828952078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IFERROR(__xludf.DUMMYFUNCTION("IMPORTRANGE(""https://docs.google.com/spreadsheets/d/19vJNZY_5yjcGF2XGBMNZRCAIB0Kwfpjp8YEOfu-bneM/edit?usp=sharing"",""งานกองทุน!C41"")"),650)</f>
        <v>650</v>
      </c>
      <c r="J822" s="892">
        <f ca="1">IFERROR(__xludf.DUMMYFUNCTION("IMPORTRANGE(""https://docs.google.com/spreadsheets/d/19vJNZY_5yjcGF2XGBMNZRCAIB0Kwfpjp8YEOfu-bneM/edit?usp=sharing"",""งานกองทุน!E41"")"),344)</f>
        <v>344</v>
      </c>
      <c r="K822" s="893">
        <f t="shared" ca="1" si="335"/>
        <v>52.92307692307692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892">
        <f ca="1">IFERROR(__xludf.DUMMYFUNCTION("IMPORTRANGE(""https://docs.google.com/spreadsheets/d/19vJNZY_5yjcGF2XGBMNZRCAIB0Kwfpjp8YEOfu-bneM/edit?usp=sharing"",""งานกองทุน!K41"")"),638569.21)</f>
        <v>638569.21</v>
      </c>
      <c r="K823" s="893">
        <f t="shared" ca="1" si="335"/>
        <v>14.867012745318121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IFERROR(__xludf.DUMMYFUNCTION("IMPORTRANGE(""https://docs.google.com/spreadsheets/d/19vJNZY_5yjcGF2XGBMNZRCAIB0Kwfpjp8YEOfu-bneM/edit?usp=sharing"",""งานกองทุน!H41"")"),251)</f>
        <v>251</v>
      </c>
      <c r="J824" s="892">
        <f ca="1">IFERROR(__xludf.DUMMYFUNCTION("IMPORTRANGE(""https://docs.google.com/spreadsheets/d/19vJNZY_5yjcGF2XGBMNZRCAIB0Kwfpjp8YEOfu-bneM/edit?usp=sharing"",""งานกองทุน!J41"")"),80)</f>
        <v>80</v>
      </c>
      <c r="K824" s="893">
        <f t="shared" ca="1" si="335"/>
        <v>31.872509960159363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IFERROR(__xludf.DUMMYFUNCTION("IMPORTRANGE(""https://docs.google.com/spreadsheets/d/19vJNZY_5yjcGF2XGBMNZRCAIB0Kwfpjp8YEOfu-bneM/edit?usp=sharing"",""งานกองทุน!N41"")"),0)</f>
        <v>0</v>
      </c>
      <c r="J825" s="892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893">
        <f t="shared" ca="1" si="335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IFERROR(__xludf.DUMMYFUNCTION("IMPORTRANGE(""https://docs.google.com/spreadsheets/d/19vJNZY_5yjcGF2XGBMNZRCAIB0Kwfpjp8YEOfu-bneM/edit?usp=sharing"",""งานกองทุน!M41"")"),0)</f>
        <v>0</v>
      </c>
      <c r="J826" s="892">
        <f ca="1">IFERROR(__xludf.DUMMYFUNCTION("IMPORTRANGE(""https://docs.google.com/spreadsheets/d/19vJNZY_5yjcGF2XGBMNZRCAIB0Kwfpjp8YEOfu-bneM/edit?usp=sharing"",""งานกองทุน!O41"")"),1)</f>
        <v>1</v>
      </c>
      <c r="K826" s="893">
        <f t="shared" ca="1" si="335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IFERROR(__xludf.DUMMYFUNCTION("IMPORTRANGE(""https://docs.google.com/spreadsheets/d/19vJNZY_5yjcGF2XGBMNZRCAIB0Kwfpjp8YEOfu-bneM/edit?usp=sharing"",""งานกองทุน!S41"")"),8000000)</f>
        <v>8000000</v>
      </c>
      <c r="J827" s="892">
        <f ca="1">IFERROR(__xludf.DUMMYFUNCTION("IMPORTRANGE(""https://docs.google.com/spreadsheets/d/19vJNZY_5yjcGF2XGBMNZRCAIB0Kwfpjp8YEOfu-bneM/edit?usp=sharing"",""งานกองทุน!U41"")"),3765000)</f>
        <v>3765000</v>
      </c>
      <c r="K827" s="893">
        <f t="shared" ca="1" si="335"/>
        <v>47.0625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IFERROR(__xludf.DUMMYFUNCTION("IMPORTRANGE(""https://docs.google.com/spreadsheets/d/19vJNZY_5yjcGF2XGBMNZRCAIB0Kwfpjp8YEOfu-bneM/edit?usp=sharing"",""งานกองทุน!R41"")"),258)</f>
        <v>258</v>
      </c>
      <c r="J828" s="1149">
        <f ca="1">IFERROR(__xludf.DUMMYFUNCTION("IMPORTRANGE(""https://docs.google.com/spreadsheets/d/19vJNZY_5yjcGF2XGBMNZRCAIB0Kwfpjp8YEOfu-bneM/edit?usp=sharing"",""งานกองทุน!T41"")"),100)</f>
        <v>100</v>
      </c>
      <c r="K828" s="1251">
        <f t="shared" ca="1" si="335"/>
        <v>38.759689922480618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9B4-7C33-4E21-8FFB-D972DF065D01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7562279</v>
      </c>
      <c r="M8" s="879">
        <f t="shared" ca="1" si="0"/>
        <v>6862124</v>
      </c>
      <c r="N8" s="879">
        <f t="shared" ca="1" si="0"/>
        <v>4701871.34</v>
      </c>
      <c r="O8" s="879">
        <f t="shared" ref="O8:O16" ca="1" si="1">IF(L8&gt;0,N8*100/L8,0)</f>
        <v>62.175322280492431</v>
      </c>
      <c r="P8" s="879">
        <f t="shared" ref="P8:P16" ca="1" si="2">IF(M8&gt;0,N8*100/M8,0)</f>
        <v>68.519183564738853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7562279</v>
      </c>
      <c r="M10" s="886">
        <f t="shared" ca="1" si="3"/>
        <v>6862124</v>
      </c>
      <c r="N10" s="886">
        <f t="shared" ca="1" si="3"/>
        <v>4701871.34</v>
      </c>
      <c r="O10" s="886">
        <f t="shared" ca="1" si="1"/>
        <v>62.175322280492431</v>
      </c>
      <c r="P10" s="886">
        <f t="shared" ca="1" si="2"/>
        <v>68.519183564738853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7237579</v>
      </c>
      <c r="M11" s="893">
        <f t="shared" ca="1" si="4"/>
        <v>6537424</v>
      </c>
      <c r="N11" s="893">
        <f t="shared" ca="1" si="4"/>
        <v>4377171.34</v>
      </c>
      <c r="O11" s="893">
        <f t="shared" ca="1" si="1"/>
        <v>60.478391185781874</v>
      </c>
      <c r="P11" s="893">
        <f t="shared" ca="1" si="2"/>
        <v>66.95559810714434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7237579</v>
      </c>
      <c r="M13" s="899">
        <f t="shared" ca="1" si="5"/>
        <v>6537424</v>
      </c>
      <c r="N13" s="899">
        <f t="shared" ca="1" si="5"/>
        <v>4377171.34</v>
      </c>
      <c r="O13" s="899">
        <f t="shared" ca="1" si="1"/>
        <v>60.478391185781874</v>
      </c>
      <c r="P13" s="899">
        <f t="shared" ca="1" si="2"/>
        <v>66.95559810714434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324700</v>
      </c>
      <c r="M14" s="893">
        <f t="shared" ca="1" si="6"/>
        <v>324700</v>
      </c>
      <c r="N14" s="893">
        <f t="shared" ca="1" si="6"/>
        <v>324700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324700</v>
      </c>
      <c r="M16" s="905">
        <f t="shared" ca="1" si="7"/>
        <v>324700</v>
      </c>
      <c r="N16" s="905">
        <f t="shared" ca="1" si="7"/>
        <v>324700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5055232</v>
      </c>
      <c r="M18" s="879">
        <f t="shared" ca="1" si="8"/>
        <v>4355077</v>
      </c>
      <c r="N18" s="879">
        <f t="shared" ca="1" si="8"/>
        <v>3324272.83</v>
      </c>
      <c r="O18" s="879">
        <f t="shared" ref="O18:O26" ca="1" si="9">IF(L18&gt;0,N18*100/L18,0)</f>
        <v>65.759055766382232</v>
      </c>
      <c r="P18" s="879">
        <f t="shared" ref="P18:P26" ca="1" si="10">IF(M18&gt;0,N18*100/M18,0)</f>
        <v>76.330977156087016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5055232</v>
      </c>
      <c r="M20" s="886">
        <f t="shared" ca="1" si="11"/>
        <v>4355077</v>
      </c>
      <c r="N20" s="886">
        <f t="shared" ca="1" si="11"/>
        <v>3324272.83</v>
      </c>
      <c r="O20" s="886">
        <f t="shared" ca="1" si="9"/>
        <v>65.759055766382232</v>
      </c>
      <c r="P20" s="886">
        <f t="shared" ca="1" si="10"/>
        <v>76.330977156087016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4730532</v>
      </c>
      <c r="M21" s="893">
        <f t="shared" ca="1" si="12"/>
        <v>4030377</v>
      </c>
      <c r="N21" s="893">
        <f t="shared" ca="1" si="12"/>
        <v>2999572.83</v>
      </c>
      <c r="O21" s="893">
        <f t="shared" ca="1" si="9"/>
        <v>63.408784255132403</v>
      </c>
      <c r="P21" s="893">
        <f t="shared" ca="1" si="10"/>
        <v>74.424125336165829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4730532</v>
      </c>
      <c r="M23" s="899">
        <f t="shared" ca="1" si="13"/>
        <v>4030377</v>
      </c>
      <c r="N23" s="899">
        <f t="shared" ca="1" si="13"/>
        <v>2999572.83</v>
      </c>
      <c r="O23" s="899">
        <f t="shared" ca="1" si="9"/>
        <v>63.408784255132403</v>
      </c>
      <c r="P23" s="899">
        <f t="shared" ca="1" si="10"/>
        <v>74.424125336165829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324700</v>
      </c>
      <c r="M24" s="893">
        <f t="shared" ca="1" si="14"/>
        <v>324700</v>
      </c>
      <c r="N24" s="893">
        <f t="shared" ca="1" si="14"/>
        <v>324700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324700</v>
      </c>
      <c r="M26" s="905">
        <f t="shared" ca="1" si="15"/>
        <v>324700</v>
      </c>
      <c r="N26" s="905">
        <f t="shared" ca="1" si="15"/>
        <v>324700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2507047</v>
      </c>
      <c r="M28" s="879">
        <f t="shared" ca="1" si="16"/>
        <v>2507047</v>
      </c>
      <c r="N28" s="879">
        <f t="shared" si="16"/>
        <v>1377598.51</v>
      </c>
      <c r="O28" s="879">
        <f t="shared" ref="O28:O37" ca="1" si="17">IF(L28&gt;0,N28*100/L28,0)</f>
        <v>54.949050017809796</v>
      </c>
      <c r="P28" s="879">
        <f t="shared" ref="P28:P37" ca="1" si="18">IF(M28&gt;0,N28*100/M28,0)</f>
        <v>54.949050017809796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2507047</v>
      </c>
      <c r="M30" s="886">
        <f t="shared" ca="1" si="19"/>
        <v>2507047</v>
      </c>
      <c r="N30" s="886">
        <f t="shared" si="19"/>
        <v>1377598.51</v>
      </c>
      <c r="O30" s="886">
        <f t="shared" ca="1" si="17"/>
        <v>54.949050017809796</v>
      </c>
      <c r="P30" s="886">
        <f t="shared" ca="1" si="18"/>
        <v>54.949050017809796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2507047</v>
      </c>
      <c r="M31" s="893">
        <f t="shared" ca="1" si="20"/>
        <v>2507047</v>
      </c>
      <c r="N31" s="893">
        <f t="shared" si="20"/>
        <v>1377598.51</v>
      </c>
      <c r="O31" s="893">
        <f t="shared" ca="1" si="17"/>
        <v>54.949050017809796</v>
      </c>
      <c r="P31" s="893">
        <f t="shared" ca="1" si="18"/>
        <v>54.949050017809796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2507047</v>
      </c>
      <c r="M33" s="899">
        <f t="shared" ca="1" si="21"/>
        <v>2507047</v>
      </c>
      <c r="N33" s="899">
        <f t="shared" si="21"/>
        <v>1377598.51</v>
      </c>
      <c r="O33" s="899">
        <f t="shared" ca="1" si="17"/>
        <v>54.949050017809796</v>
      </c>
      <c r="P33" s="899">
        <f t="shared" ca="1" si="18"/>
        <v>54.949050017809796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5055232</v>
      </c>
      <c r="M37" s="912">
        <f t="shared" ca="1" si="24"/>
        <v>4355077</v>
      </c>
      <c r="N37" s="912">
        <f t="shared" ca="1" si="24"/>
        <v>3324272.83</v>
      </c>
      <c r="O37" s="912">
        <f t="shared" ca="1" si="17"/>
        <v>65.759055766382232</v>
      </c>
      <c r="P37" s="912">
        <f t="shared" ca="1" si="18"/>
        <v>76.330977156087016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930492</v>
      </c>
      <c r="M41" s="938">
        <f t="shared" ca="1" si="25"/>
        <v>950742</v>
      </c>
      <c r="N41" s="938">
        <f t="shared" ca="1" si="25"/>
        <v>504933</v>
      </c>
      <c r="O41" s="938">
        <f t="shared" ref="O41:O49" ca="1" si="26">IF(L41&gt;0,N41*100/L41,0)</f>
        <v>54.265162946054346</v>
      </c>
      <c r="P41" s="938">
        <f t="shared" ref="P41:P49" ca="1" si="27">IF(M41&gt;0,N41*100/M41,0)</f>
        <v>53.109360899171385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930492</v>
      </c>
      <c r="M43" s="944">
        <f t="shared" ca="1" si="28"/>
        <v>950742</v>
      </c>
      <c r="N43" s="944">
        <f t="shared" ca="1" si="28"/>
        <v>504933</v>
      </c>
      <c r="O43" s="944">
        <f t="shared" ca="1" si="26"/>
        <v>54.265162946054346</v>
      </c>
      <c r="P43" s="944">
        <f t="shared" ca="1" si="27"/>
        <v>53.109360899171385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930492</v>
      </c>
      <c r="M44" s="893">
        <f t="shared" ca="1" si="29"/>
        <v>950742</v>
      </c>
      <c r="N44" s="893">
        <f t="shared" ca="1" si="29"/>
        <v>504933</v>
      </c>
      <c r="O44" s="893">
        <f t="shared" ca="1" si="26"/>
        <v>54.265162946054346</v>
      </c>
      <c r="P44" s="893">
        <f t="shared" ca="1" si="27"/>
        <v>53.109360899171385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IFERROR(__xludf.DUMMYFUNCTION("IMPORTRANGE(""https://docs.google.com/spreadsheets/d/1MeEWN-I1oV_STSDYn1IFDPWt_1FKiwhDph83XaGc0o0/edit?usp=sharing"",""งบพรบ!M42"")"),930492)</f>
        <v>930492</v>
      </c>
      <c r="M46" s="899">
        <f ca="1">IFERROR(__xludf.DUMMYFUNCTION("IMPORTRANGE(""https://docs.google.com/spreadsheets/d/1MeEWN-I1oV_STSDYn1IFDPWt_1FKiwhDph83XaGc0o0/edit?usp=sharing"",""งบพรบ!R42"")"),950742)</f>
        <v>950742</v>
      </c>
      <c r="N46" s="899">
        <f ca="1">IFERROR(__xludf.DUMMYFUNCTION("IMPORTRANGE(""https://docs.google.com/spreadsheets/d/1MeEWN-I1oV_STSDYn1IFDPWt_1FKiwhDph83XaGc0o0/edit?usp=sharing"",""งบพรบ!T42"")"),504933)</f>
        <v>504933</v>
      </c>
      <c r="O46" s="899">
        <f t="shared" ca="1" si="26"/>
        <v>54.265162946054346</v>
      </c>
      <c r="P46" s="899">
        <f t="shared" ca="1" si="27"/>
        <v>53.109360899171385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IFERROR(__xludf.DUMMYFUNCTION("IMPORTRANGE(""https://docs.google.com/spreadsheets/d/1MeEWN-I1oV_STSDYn1IFDPWt_1FKiwhDph83XaGc0o0/edit?usp=sharing"",""งบพรบ!P42"")"),0)</f>
        <v>0</v>
      </c>
      <c r="M49" s="905">
        <f ca="1">IFERROR(__xludf.DUMMYFUNCTION("IMPORTRANGE(""https://docs.google.com/spreadsheets/d/1MeEWN-I1oV_STSDYn1IFDPWt_1FKiwhDph83XaGc0o0/edit?usp=sharing"",""งบพรบ!S42"")"),0)</f>
        <v>0</v>
      </c>
      <c r="N49" s="905">
        <f ca="1">IFERROR(__xludf.DUMMYFUNCTION("IMPORTRANGE(""https://docs.google.com/spreadsheets/d/1MeEWN-I1oV_STSDYn1IFDPWt_1FKiwhDph83XaGc0o0/edit?usp=sharing"",""งบพรบ!U42"")"),0)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1012100</v>
      </c>
      <c r="M53" s="968">
        <f t="shared" ca="1" si="31"/>
        <v>842495</v>
      </c>
      <c r="N53" s="968">
        <f t="shared" ca="1" si="31"/>
        <v>753795.46</v>
      </c>
      <c r="O53" s="968">
        <f t="shared" ref="O53:O61" ca="1" si="32">IF(L53&gt;0,N53*100/L53,0)</f>
        <v>74.478357869775721</v>
      </c>
      <c r="P53" s="968">
        <f t="shared" ref="P53:P61" ca="1" si="33">IF(M53&gt;0,N53*100/M53,0)</f>
        <v>89.471802206541284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1012100</v>
      </c>
      <c r="M55" s="974">
        <f t="shared" ca="1" si="34"/>
        <v>842495</v>
      </c>
      <c r="N55" s="974">
        <f t="shared" ca="1" si="34"/>
        <v>753795.46</v>
      </c>
      <c r="O55" s="974">
        <f t="shared" ca="1" si="32"/>
        <v>74.478357869775721</v>
      </c>
      <c r="P55" s="974">
        <f t="shared" ca="1" si="33"/>
        <v>89.471802206541284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904900</v>
      </c>
      <c r="M56" s="893">
        <f t="shared" ca="1" si="35"/>
        <v>735295</v>
      </c>
      <c r="N56" s="893">
        <f t="shared" ca="1" si="35"/>
        <v>646595.46</v>
      </c>
      <c r="O56" s="893">
        <f t="shared" ca="1" si="32"/>
        <v>71.45490772461045</v>
      </c>
      <c r="P56" s="893">
        <f t="shared" ca="1" si="33"/>
        <v>87.936877035747557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IFERROR(__xludf.DUMMYFUNCTION("IMPORTRANGE(""https://docs.google.com/spreadsheets/d/1MeEWN-I1oV_STSDYn1IFDPWt_1FKiwhDph83XaGc0o0/edit?usp=sharing"",""งบพรบ!W42"")"),904900)</f>
        <v>904900</v>
      </c>
      <c r="M58" s="899">
        <f ca="1">IFERROR(__xludf.DUMMYFUNCTION("IMPORTRANGE(""https://docs.google.com/spreadsheets/d/1MeEWN-I1oV_STSDYn1IFDPWt_1FKiwhDph83XaGc0o0/edit?usp=sharing"",""งบพรบ!AB42"")"),735295)</f>
        <v>735295</v>
      </c>
      <c r="N58" s="899">
        <f ca="1">IFERROR(__xludf.DUMMYFUNCTION("IMPORTRANGE(""https://docs.google.com/spreadsheets/d/1MeEWN-I1oV_STSDYn1IFDPWt_1FKiwhDph83XaGc0o0/edit?usp=sharing"",""งบพรบ!AD42"")"),646595.46)</f>
        <v>646595.46</v>
      </c>
      <c r="O58" s="899">
        <f t="shared" ca="1" si="32"/>
        <v>71.45490772461045</v>
      </c>
      <c r="P58" s="899">
        <f t="shared" ca="1" si="33"/>
        <v>87.936877035747557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107200</v>
      </c>
      <c r="M59" s="893">
        <f t="shared" ca="1" si="36"/>
        <v>107200</v>
      </c>
      <c r="N59" s="893">
        <f t="shared" ca="1" si="36"/>
        <v>107200</v>
      </c>
      <c r="O59" s="893">
        <f t="shared" ca="1" si="32"/>
        <v>100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IFERROR(__xludf.DUMMYFUNCTION("IMPORTRANGE(""https://docs.google.com/spreadsheets/d/1MeEWN-I1oV_STSDYn1IFDPWt_1FKiwhDph83XaGc0o0/edit?usp=sharing"",""งบพรบ!Z42"")"),107200)</f>
        <v>107200</v>
      </c>
      <c r="M61" s="905">
        <f ca="1">IFERROR(__xludf.DUMMYFUNCTION("IMPORTRANGE(""https://docs.google.com/spreadsheets/d/1MeEWN-I1oV_STSDYn1IFDPWt_1FKiwhDph83XaGc0o0/edit?usp=sharing"",""งบพรบ!AC42"")"),107200)</f>
        <v>107200</v>
      </c>
      <c r="N61" s="905">
        <f ca="1">IFERROR(__xludf.DUMMYFUNCTION("IMPORTRANGE(""https://docs.google.com/spreadsheets/d/1MeEWN-I1oV_STSDYn1IFDPWt_1FKiwhDph83XaGc0o0/edit?usp=sharing"",""งบพรบ!AE42"")"),107200)</f>
        <v>107200</v>
      </c>
      <c r="O61" s="905">
        <f t="shared" ca="1" si="32"/>
        <v>100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40</v>
      </c>
      <c r="J65" s="994">
        <f t="shared" si="37"/>
        <v>40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954000</v>
      </c>
      <c r="M66" s="1004">
        <f t="shared" ca="1" si="39"/>
        <v>707190</v>
      </c>
      <c r="N66" s="1004">
        <f t="shared" ca="1" si="39"/>
        <v>628528.97</v>
      </c>
      <c r="O66" s="1004">
        <f t="shared" ref="O66:O74" ca="1" si="40">IF(L66&gt;0,N66*100/L66,0)</f>
        <v>65.883539832285109</v>
      </c>
      <c r="P66" s="1004">
        <f t="shared" ref="P66:P74" ca="1" si="41">IF(M66&gt;0,N66*100/M66,0)</f>
        <v>88.876959515830251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954000</v>
      </c>
      <c r="M68" s="899">
        <f t="shared" ca="1" si="42"/>
        <v>707190</v>
      </c>
      <c r="N68" s="899">
        <f t="shared" ca="1" si="42"/>
        <v>628528.97</v>
      </c>
      <c r="O68" s="899">
        <f t="shared" ca="1" si="40"/>
        <v>65.883539832285109</v>
      </c>
      <c r="P68" s="899">
        <f t="shared" ca="1" si="41"/>
        <v>88.876959515830251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954000</v>
      </c>
      <c r="M69" s="893">
        <f t="shared" ca="1" si="43"/>
        <v>707190</v>
      </c>
      <c r="N69" s="893">
        <f t="shared" ca="1" si="43"/>
        <v>628528.97</v>
      </c>
      <c r="O69" s="893">
        <f t="shared" ca="1" si="40"/>
        <v>65.883539832285109</v>
      </c>
      <c r="P69" s="893">
        <f t="shared" ca="1" si="41"/>
        <v>88.876959515830251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IFERROR(__xludf.DUMMYFUNCTION("IMPORTRANGE(""https://docs.google.com/spreadsheets/d/1MeEWN-I1oV_STSDYn1IFDPWt_1FKiwhDph83XaGc0o0/edit?usp=sharing"",""งบพรบ!AG42"")"),954000)</f>
        <v>954000</v>
      </c>
      <c r="M71" s="899">
        <f ca="1">IFERROR(__xludf.DUMMYFUNCTION("IMPORTRANGE(""https://docs.google.com/spreadsheets/d/1MeEWN-I1oV_STSDYn1IFDPWt_1FKiwhDph83XaGc0o0/edit?usp=sharing"",""งบพรบ!AL42"")"),707190)</f>
        <v>707190</v>
      </c>
      <c r="N71" s="899">
        <f ca="1">IFERROR(__xludf.DUMMYFUNCTION("IMPORTRANGE(""https://docs.google.com/spreadsheets/d/1MeEWN-I1oV_STSDYn1IFDPWt_1FKiwhDph83XaGc0o0/edit?usp=sharing"",""งบพรบ!AN42"")"),628528.97)</f>
        <v>628528.97</v>
      </c>
      <c r="O71" s="899">
        <f t="shared" ca="1" si="40"/>
        <v>65.883539832285109</v>
      </c>
      <c r="P71" s="899">
        <f t="shared" ca="1" si="41"/>
        <v>88.876959515830251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IFERROR(__xludf.DUMMYFUNCTION("IMPORTRANGE(""https://docs.google.com/spreadsheets/d/1MeEWN-I1oV_STSDYn1IFDPWt_1FKiwhDph83XaGc0o0/edit?usp=sharing"",""งบพรบ!AJ42"")"),0)</f>
        <v>0</v>
      </c>
      <c r="M74" s="899">
        <f ca="1">IFERROR(__xludf.DUMMYFUNCTION("IMPORTRANGE(""https://docs.google.com/spreadsheets/d/1MeEWN-I1oV_STSDYn1IFDPWt_1FKiwhDph83XaGc0o0/edit?usp=sharing"",""งบพรบ!AM42"")"),0)</f>
        <v>0</v>
      </c>
      <c r="N74" s="899">
        <f ca="1">IFERROR(__xludf.DUMMYFUNCTION("IMPORTRANGE(""https://docs.google.com/spreadsheets/d/1MeEWN-I1oV_STSDYn1IFDPWt_1FKiwhDph83XaGc0o0/edit?usp=sharing"",""งบพรบ!AO42"")"),0)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40</v>
      </c>
      <c r="J77" s="892">
        <f t="shared" si="45"/>
        <v>40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IFERROR(__xludf.DUMMYFUNCTION("IMPORTRANGE(""https://docs.google.com/spreadsheets/d/1QqKyyYR6Q21VydFLVH3TRQUabQu_ym0Zz7PgGX0-kHA/edit?usp=sharing"",""แผน!H42"")"),0)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IFERROR(__xludf.DUMMYFUNCTION("IMPORTRANGE(""https://docs.google.com/spreadsheets/d/1QqKyyYR6Q21VydFLVH3TRQUabQu_ym0Zz7PgGX0-kHA/edit?usp=sharing"",""แผน!I42"")"),0)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IFERROR(__xludf.DUMMYFUNCTION("IMPORTRANGE(""https://docs.google.com/spreadsheets/d/1QqKyyYR6Q21VydFLVH3TRQUabQu_ym0Zz7PgGX0-kHA/edit?usp=sharing"",""แผน!F42"")"),0)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IFERROR(__xludf.DUMMYFUNCTION("IMPORTRANGE(""https://docs.google.com/spreadsheets/d/1QqKyyYR6Q21VydFLVH3TRQUabQu_ym0Zz7PgGX0-kHA/edit?usp=sharing"",""แผน!G42"")"),0)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IFERROR(__xludf.DUMMYFUNCTION("IMPORTRANGE(""https://docs.google.com/spreadsheets/d/1QqKyyYR6Q21VydFLVH3TRQUabQu_ym0Zz7PgGX0-kHA/edit?usp=sharing"",""แผน!D42"")"),1)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IFERROR(__xludf.DUMMYFUNCTION("IMPORTRANGE(""https://docs.google.com/spreadsheets/d/1QqKyyYR6Q21VydFLVH3TRQUabQu_ym0Zz7PgGX0-kHA/edit?usp=sharing"",""แผน!E42"")"),40)</f>
        <v>40</v>
      </c>
      <c r="J83" s="1024">
        <v>40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IFERROR(__xludf.DUMMYFUNCTION("IMPORTRANGE(""https://docs.google.com/spreadsheets/d/1QqKyyYR6Q21VydFLVH3TRQUabQu_ym0Zz7PgGX0-kHA/edit?usp=sharing"",""แผน!J42"")"),1)</f>
        <v>1</v>
      </c>
      <c r="J84" s="1024">
        <v>1</v>
      </c>
      <c r="K84" s="1010">
        <f t="shared" ca="1" si="46"/>
        <v>100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45</v>
      </c>
      <c r="J86" s="994">
        <f t="shared" si="47"/>
        <v>45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15</v>
      </c>
      <c r="J87" s="994">
        <f t="shared" si="47"/>
        <v>15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269660</v>
      </c>
      <c r="M88" s="1004">
        <f t="shared" ca="1" si="49"/>
        <v>218810</v>
      </c>
      <c r="N88" s="1004">
        <f t="shared" ca="1" si="49"/>
        <v>170724.6</v>
      </c>
      <c r="O88" s="1004">
        <f t="shared" ref="O88:O96" ca="1" si="50">IF(L88&gt;0,N88*100/L88,0)</f>
        <v>63.311058369799007</v>
      </c>
      <c r="P88" s="1004">
        <f t="shared" ref="P88:P96" ca="1" si="51">IF(M88&gt;0,N88*100/M88,0)</f>
        <v>78.02413052419908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269660</v>
      </c>
      <c r="M90" s="899">
        <f t="shared" ca="1" si="52"/>
        <v>218810</v>
      </c>
      <c r="N90" s="899">
        <f t="shared" ca="1" si="52"/>
        <v>170724.6</v>
      </c>
      <c r="O90" s="899">
        <f t="shared" ca="1" si="50"/>
        <v>63.311058369799007</v>
      </c>
      <c r="P90" s="899">
        <f t="shared" ca="1" si="51"/>
        <v>78.02413052419908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269660</v>
      </c>
      <c r="M91" s="893">
        <f t="shared" ca="1" si="53"/>
        <v>218810</v>
      </c>
      <c r="N91" s="893">
        <f t="shared" ca="1" si="53"/>
        <v>170724.6</v>
      </c>
      <c r="O91" s="893">
        <f t="shared" ca="1" si="50"/>
        <v>63.311058369799007</v>
      </c>
      <c r="P91" s="893">
        <f t="shared" ca="1" si="51"/>
        <v>78.02413052419908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IFERROR(__xludf.DUMMYFUNCTION("IMPORTRANGE(""https://docs.google.com/spreadsheets/d/1MeEWN-I1oV_STSDYn1IFDPWt_1FKiwhDph83XaGc0o0/edit?usp=sharing"",""งบพรบ!AQ42"")"),269660)</f>
        <v>269660</v>
      </c>
      <c r="M93" s="899">
        <f ca="1">IFERROR(__xludf.DUMMYFUNCTION("IMPORTRANGE(""https://docs.google.com/spreadsheets/d/1MeEWN-I1oV_STSDYn1IFDPWt_1FKiwhDph83XaGc0o0/edit?usp=sharing"",""งบพรบ!AV42"")"),218810)</f>
        <v>218810</v>
      </c>
      <c r="N93" s="899">
        <f ca="1">IFERROR(__xludf.DUMMYFUNCTION("IMPORTRANGE(""https://docs.google.com/spreadsheets/d/1MeEWN-I1oV_STSDYn1IFDPWt_1FKiwhDph83XaGc0o0/edit?usp=sharing"",""งบพรบ!AX42"")"),170724.6)</f>
        <v>170724.6</v>
      </c>
      <c r="O93" s="899">
        <f t="shared" ca="1" si="50"/>
        <v>63.311058369799007</v>
      </c>
      <c r="P93" s="899">
        <f t="shared" ca="1" si="51"/>
        <v>78.02413052419908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IFERROR(__xludf.DUMMYFUNCTION("IMPORTRANGE(""https://docs.google.com/spreadsheets/d/1MeEWN-I1oV_STSDYn1IFDPWt_1FKiwhDph83XaGc0o0/edit?usp=sharing"",""งบพรบ!AT42"")"),0)</f>
        <v>0</v>
      </c>
      <c r="M96" s="899">
        <f ca="1">IFERROR(__xludf.DUMMYFUNCTION("IMPORTRANGE(""https://docs.google.com/spreadsheets/d/1MeEWN-I1oV_STSDYn1IFDPWt_1FKiwhDph83XaGc0o0/edit?usp=sharing"",""งบพรบ!AW42"")"),0)</f>
        <v>0</v>
      </c>
      <c r="N96" s="899">
        <f ca="1">IFERROR(__xludf.DUMMYFUNCTION("IMPORTRANGE(""https://docs.google.com/spreadsheets/d/1MeEWN-I1oV_STSDYn1IFDPWt_1FKiwhDph83XaGc0o0/edit?usp=sharing"",""งบพรบ!AY42"")"),0)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IFERROR(__xludf.DUMMYFUNCTION("IMPORTRANGE(""https://docs.google.com/spreadsheets/d/1QqKyyYR6Q21VydFLVH3TRQUabQu_ym0Zz7PgGX0-kHA/edit?usp=sharing"",""แผน!K42"")"),45)</f>
        <v>45</v>
      </c>
      <c r="J98" s="892">
        <f>J102</f>
        <v>45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IFERROR(__xludf.DUMMYFUNCTION("IMPORTRANGE(""https://docs.google.com/spreadsheets/d/1QqKyyYR6Q21VydFLVH3TRQUabQu_ym0Zz7PgGX0-kHA/edit?usp=sharing"",""แผน!L42"")"),15)</f>
        <v>15</v>
      </c>
      <c r="J99" s="892">
        <f>J104</f>
        <v>15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IFERROR(__xludf.DUMMYFUNCTION("IMPORTRANGE(""https://docs.google.com/spreadsheets/d/1QqKyyYR6Q21VydFLVH3TRQUabQu_ym0Zz7PgGX0-kHA/edit?usp=sharing"",""แผน!M42"")"),2)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IFERROR(__xludf.DUMMYFUNCTION("IMPORTRANGE(""https://docs.google.com/spreadsheets/d/1QqKyyYR6Q21VydFLVH3TRQUabQu_ym0Zz7PgGX0-kHA/edit?usp=sharing"",""แผน!N42"")"),45)</f>
        <v>45</v>
      </c>
      <c r="J102" s="1024">
        <v>45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IFERROR(__xludf.DUMMYFUNCTION("IMPORTRANGE(""https://docs.google.com/spreadsheets/d/1QqKyyYR6Q21VydFLVH3TRQUabQu_ym0Zz7PgGX0-kHA/edit?usp=sharing"",""แผน!O42"")"),15)</f>
        <v>15</v>
      </c>
      <c r="J103" s="1024">
        <v>15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IFERROR(__xludf.DUMMYFUNCTION("IMPORTRANGE(""https://docs.google.com/spreadsheets/d/1QqKyyYR6Q21VydFLVH3TRQUabQu_ym0Zz7PgGX0-kHA/edit?usp=sharing"",""แผน!O42"")"),15)</f>
        <v>15</v>
      </c>
      <c r="J104" s="1024">
        <v>15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IFERROR(__xludf.DUMMYFUNCTION("IMPORTRANGE(""https://docs.google.com/spreadsheets/d/1QqKyyYR6Q21VydFLVH3TRQUabQu_ym0Zz7PgGX0-kHA/edit?usp=sharing"",""แผน!P42"")"),1)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IFERROR(__xludf.DUMMYFUNCTION("IMPORTRANGE(""https://docs.google.com/spreadsheets/d/1QqKyyYR6Q21VydFLVH3TRQUabQu_ym0Zz7PgGX0-kHA/edit?usp=sharing"",""แผน!P42"")"),1)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IFERROR(__xludf.DUMMYFUNCTION("IMPORTRANGE(""https://docs.google.com/spreadsheets/d/1QqKyyYR6Q21VydFLVH3TRQUabQu_ym0Zz7PgGX0-kHA/edit?usp=sharing"",""แผน!Q42"")"),1)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IFERROR(__xludf.DUMMYFUNCTION("IMPORTRANGE(""https://docs.google.com/spreadsheets/d/1QqKyyYR6Q21VydFLVH3TRQUabQu_ym0Zz7PgGX0-kHA/edit?usp=sharing"",""แผน!Q42"")"),1)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IFERROR(__xludf.DUMMYFUNCTION("IMPORTRANGE(""https://docs.google.com/spreadsheets/d/1QqKyyYR6Q21VydFLVH3TRQUabQu_ym0Zz7PgGX0-kHA/edit?usp=sharing"",""แผน!R42"")"),15)</f>
        <v>15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IFERROR(__xludf.DUMMYFUNCTION("IMPORTRANGE(""https://docs.google.com/spreadsheets/d/1QqKyyYR6Q21VydFLVH3TRQUabQu_ym0Zz7PgGX0-kHA/edit?usp=sharing"",""แผน!R42"")"),15)</f>
        <v>15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IFERROR(__xludf.DUMMYFUNCTION("IMPORTRANGE(""https://docs.google.com/spreadsheets/d/1QqKyyYR6Q21VydFLVH3TRQUabQu_ym0Zz7PgGX0-kHA/edit?usp=sharing"",""แผน!R42"")"),15)</f>
        <v>15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IFERROR(__xludf.DUMMYFUNCTION("IMPORTRANGE(""https://docs.google.com/spreadsheets/d/1QqKyyYR6Q21VydFLVH3TRQUabQu_ym0Zz7PgGX0-kHA/edit?usp=sharing"",""แผน!S42"")"),1)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IFERROR(__xludf.DUMMYFUNCTION("IMPORTRANGE(""https://docs.google.com/spreadsheets/d/1QqKyyYR6Q21VydFLVH3TRQUabQu_ym0Zz7PgGX0-kHA/edit?usp=sharing"",""แผน!T42"")"),1)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IFERROR(__xludf.DUMMYFUNCTION("IMPORTRANGE(""https://docs.google.com/spreadsheets/d/1MeEWN-I1oV_STSDYn1IFDPWt_1FKiwhDph83XaGc0o0/edit?usp=sharing"",""งบพรบ!BA42"")"),0)</f>
        <v>0</v>
      </c>
      <c r="M124" s="899">
        <f ca="1">IFERROR(__xludf.DUMMYFUNCTION("IMPORTRANGE(""https://docs.google.com/spreadsheets/d/1MeEWN-I1oV_STSDYn1IFDPWt_1FKiwhDph83XaGc0o0/edit?usp=sharing"",""งบพรบ!BF42"")"),0)</f>
        <v>0</v>
      </c>
      <c r="N124" s="899">
        <f ca="1">IFERROR(__xludf.DUMMYFUNCTION("IMPORTRANGE(""https://docs.google.com/spreadsheets/d/1MeEWN-I1oV_STSDYn1IFDPWt_1FKiwhDph83XaGc0o0/edit?usp=sharing"",""งบพรบ!BH42"")"),0)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IFERROR(__xludf.DUMMYFUNCTION("IMPORTRANGE(""https://docs.google.com/spreadsheets/d/1MeEWN-I1oV_STSDYn1IFDPWt_1FKiwhDph83XaGc0o0/edit?usp=sharing"",""งบพรบ!BD42"")"),0)</f>
        <v>0</v>
      </c>
      <c r="M127" s="899">
        <f ca="1">IFERROR(__xludf.DUMMYFUNCTION("IMPORTRANGE(""https://docs.google.com/spreadsheets/d/1MeEWN-I1oV_STSDYn1IFDPWt_1FKiwhDph83XaGc0o0/edit?usp=sharing"",""งบพรบ!BG42"")"),0)</f>
        <v>0</v>
      </c>
      <c r="N127" s="899">
        <f ca="1">IFERROR(__xludf.DUMMYFUNCTION("IMPORTRANGE(""https://docs.google.com/spreadsheets/d/1MeEWN-I1oV_STSDYn1IFDPWt_1FKiwhDph83XaGc0o0/edit?usp=sharing"",""งบพรบ!BI42"")"),0)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IFERROR(__xludf.DUMMYFUNCTION("IMPORTRANGE(""https://docs.google.com/spreadsheets/d/1MeEWN-I1oV_STSDYn1IFDPWt_1FKiwhDph83XaGc0o0/edit?usp=sharing"",""งบพรบ!BK42"")"),0)</f>
        <v>0</v>
      </c>
      <c r="M137" s="899">
        <f ca="1">IFERROR(__xludf.DUMMYFUNCTION("IMPORTRANGE(""https://docs.google.com/spreadsheets/d/1MeEWN-I1oV_STSDYn1IFDPWt_1FKiwhDph83XaGc0o0/edit?usp=sharing"",""งบพรบ!BP42"")"),0)</f>
        <v>0</v>
      </c>
      <c r="N137" s="899">
        <f ca="1">IFERROR(__xludf.DUMMYFUNCTION("IMPORTRANGE(""https://docs.google.com/spreadsheets/d/1MeEWN-I1oV_STSDYn1IFDPWt_1FKiwhDph83XaGc0o0/edit?usp=sharing"",""งบพรบ!BR42"")"),0)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IFERROR(__xludf.DUMMYFUNCTION("IMPORTRANGE(""https://docs.google.com/spreadsheets/d/1MeEWN-I1oV_STSDYn1IFDPWt_1FKiwhDph83XaGc0o0/edit?usp=sharing"",""งบพรบ!BN42"")"),0)</f>
        <v>0</v>
      </c>
      <c r="M140" s="899">
        <f ca="1">IFERROR(__xludf.DUMMYFUNCTION("IMPORTRANGE(""https://docs.google.com/spreadsheets/d/1MeEWN-I1oV_STSDYn1IFDPWt_1FKiwhDph83XaGc0o0/edit?usp=sharing"",""งบพรบ!BQ42"")"),0)</f>
        <v>0</v>
      </c>
      <c r="N140" s="899">
        <f ca="1">IFERROR(__xludf.DUMMYFUNCTION("IMPORTRANGE(""https://docs.google.com/spreadsheets/d/1MeEWN-I1oV_STSDYn1IFDPWt_1FKiwhDph83XaGc0o0/edit?usp=sharing"",""งบพรบ!BS42"")"),0)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IFERROR(__xludf.DUMMYFUNCTION("IMPORTRANGE(""https://docs.google.com/spreadsheets/d/1QqKyyYR6Q21VydFLVH3TRQUabQu_ym0Zz7PgGX0-kHA/edit?usp=sharing"",""แผน!U42"")"),0)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IFERROR(__xludf.DUMMYFUNCTION("IMPORTRANGE(""https://docs.google.com/spreadsheets/d/1QqKyyYR6Q21VydFLVH3TRQUabQu_ym0Zz7PgGX0-kHA/edit?usp=sharing"",""แผน!V42"")"),0)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IFERROR(__xludf.DUMMYFUNCTION("IMPORTRANGE(""https://docs.google.com/spreadsheets/d/1QqKyyYR6Q21VydFLVH3TRQUabQu_ym0Zz7PgGX0-kHA/edit?usp=sharing"",""แผน!W42"")"),0)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10</v>
      </c>
      <c r="J148" s="994">
        <f t="shared" si="76"/>
        <v>10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5000</v>
      </c>
      <c r="M149" s="1004">
        <f t="shared" ca="1" si="77"/>
        <v>12520</v>
      </c>
      <c r="N149" s="1004">
        <f t="shared" ca="1" si="77"/>
        <v>7260</v>
      </c>
      <c r="O149" s="1004">
        <f t="shared" ref="O149:O157" ca="1" si="78">IF(L149&gt;0,N149*100/L149,0)</f>
        <v>145.19999999999999</v>
      </c>
      <c r="P149" s="1004">
        <f t="shared" ref="P149:P157" ca="1" si="79">IF(M149&gt;0,N149*100/M149,0)</f>
        <v>57.987220447284344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5000</v>
      </c>
      <c r="M151" s="899">
        <f t="shared" ca="1" si="80"/>
        <v>12520</v>
      </c>
      <c r="N151" s="899">
        <f t="shared" ca="1" si="80"/>
        <v>7260</v>
      </c>
      <c r="O151" s="899">
        <f t="shared" ca="1" si="78"/>
        <v>145.19999999999999</v>
      </c>
      <c r="P151" s="899">
        <f t="shared" ca="1" si="79"/>
        <v>57.987220447284344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5000</v>
      </c>
      <c r="M152" s="893">
        <f t="shared" ca="1" si="81"/>
        <v>12520</v>
      </c>
      <c r="N152" s="893">
        <f t="shared" ca="1" si="81"/>
        <v>7260</v>
      </c>
      <c r="O152" s="893">
        <f t="shared" ca="1" si="78"/>
        <v>145.19999999999999</v>
      </c>
      <c r="P152" s="893">
        <f t="shared" ca="1" si="79"/>
        <v>57.987220447284344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IFERROR(__xludf.DUMMYFUNCTION("IMPORTRANGE(""https://docs.google.com/spreadsheets/d/1MeEWN-I1oV_STSDYn1IFDPWt_1FKiwhDph83XaGc0o0/edit?usp=sharing"",""งบพรบ!BU42"")"),5000)</f>
        <v>5000</v>
      </c>
      <c r="M154" s="899">
        <f ca="1">IFERROR(__xludf.DUMMYFUNCTION("IMPORTRANGE(""https://docs.google.com/spreadsheets/d/1MeEWN-I1oV_STSDYn1IFDPWt_1FKiwhDph83XaGc0o0/edit?usp=sharing"",""งบพรบ!BZ42"")"),12520)</f>
        <v>12520</v>
      </c>
      <c r="N154" s="899">
        <f ca="1">IFERROR(__xludf.DUMMYFUNCTION("IMPORTRANGE(""https://docs.google.com/spreadsheets/d/1MeEWN-I1oV_STSDYn1IFDPWt_1FKiwhDph83XaGc0o0/edit?usp=sharing"",""งบพรบ!CB42"")"),7260)</f>
        <v>7260</v>
      </c>
      <c r="O154" s="899">
        <f t="shared" ca="1" si="78"/>
        <v>145.19999999999999</v>
      </c>
      <c r="P154" s="899">
        <f t="shared" ca="1" si="79"/>
        <v>57.987220447284344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IFERROR(__xludf.DUMMYFUNCTION("IMPORTRANGE(""https://docs.google.com/spreadsheets/d/1MeEWN-I1oV_STSDYn1IFDPWt_1FKiwhDph83XaGc0o0/edit?usp=sharing"",""งบพรบ!BX42"")"),0)</f>
        <v>0</v>
      </c>
      <c r="M157" s="899">
        <f ca="1">IFERROR(__xludf.DUMMYFUNCTION("IMPORTRANGE(""https://docs.google.com/spreadsheets/d/1MeEWN-I1oV_STSDYn1IFDPWt_1FKiwhDph83XaGc0o0/edit?usp=sharing"",""งบพรบ!CA42"")"),0)</f>
        <v>0</v>
      </c>
      <c r="N157" s="899">
        <f ca="1">IFERROR(__xludf.DUMMYFUNCTION("IMPORTRANGE(""https://docs.google.com/spreadsheets/d/1MeEWN-I1oV_STSDYn1IFDPWt_1FKiwhDph83XaGc0o0/edit?usp=sharing"",""งบพรบ!CC42"")"),0)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IFERROR(__xludf.DUMMYFUNCTION("IMPORTRANGE(""https://docs.google.com/spreadsheets/d/1QqKyyYR6Q21VydFLVH3TRQUabQu_ym0Zz7PgGX0-kHA/edit?usp=sharing"",""แผน!X42"")"),10)</f>
        <v>10</v>
      </c>
      <c r="J159" s="1024">
        <v>10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23060</v>
      </c>
      <c r="N165" s="1004">
        <f t="shared" ca="1" si="84"/>
        <v>23060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23060</v>
      </c>
      <c r="N167" s="899">
        <f t="shared" ca="1" si="87"/>
        <v>23060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23060</v>
      </c>
      <c r="N168" s="893">
        <f t="shared" ca="1" si="88"/>
        <v>23060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IFERROR(__xludf.DUMMYFUNCTION("IMPORTRANGE(""https://docs.google.com/spreadsheets/d/1MeEWN-I1oV_STSDYn1IFDPWt_1FKiwhDph83XaGc0o0/edit?usp=sharing"",""งบพรบ!CE42"")"),23060)</f>
        <v>23060</v>
      </c>
      <c r="M170" s="899">
        <f ca="1">IFERROR(__xludf.DUMMYFUNCTION("IMPORTRANGE(""https://docs.google.com/spreadsheets/d/1MeEWN-I1oV_STSDYn1IFDPWt_1FKiwhDph83XaGc0o0/edit?usp=sharing"",""งบพรบ!CJ42"")"),23060)</f>
        <v>23060</v>
      </c>
      <c r="N170" s="899">
        <f ca="1">IFERROR(__xludf.DUMMYFUNCTION("IMPORTRANGE(""https://docs.google.com/spreadsheets/d/1MeEWN-I1oV_STSDYn1IFDPWt_1FKiwhDph83XaGc0o0/edit?usp=sharing"",""งบพรบ!CL42"")"),23060)</f>
        <v>23060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IFERROR(__xludf.DUMMYFUNCTION("IMPORTRANGE(""https://docs.google.com/spreadsheets/d/1MeEWN-I1oV_STSDYn1IFDPWt_1FKiwhDph83XaGc0o0/edit?usp=sharing"",""งบพรบ!CH42"")"),0)</f>
        <v>0</v>
      </c>
      <c r="M173" s="899">
        <f ca="1">IFERROR(__xludf.DUMMYFUNCTION("IMPORTRANGE(""https://docs.google.com/spreadsheets/d/1MeEWN-I1oV_STSDYn1IFDPWt_1FKiwhDph83XaGc0o0/edit?usp=sharing"",""งบพรบ!CK42"")"),0)</f>
        <v>0</v>
      </c>
      <c r="N173" s="899">
        <f ca="1">IFERROR(__xludf.DUMMYFUNCTION("IMPORTRANGE(""https://docs.google.com/spreadsheets/d/1MeEWN-I1oV_STSDYn1IFDPWt_1FKiwhDph83XaGc0o0/edit?usp=sharing"",""งบพรบ!CM42"")"),0)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IFERROR(__xludf.DUMMYFUNCTION("IMPORTRANGE(""https://docs.google.com/spreadsheets/d/1QqKyyYR6Q21VydFLVH3TRQUabQu_ym0Zz7PgGX0-kHA/edit?usp=sharing"",""แผน!Y42"")"),12)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67600</v>
      </c>
      <c r="M181" s="1004">
        <f t="shared" ca="1" si="92"/>
        <v>48500</v>
      </c>
      <c r="N181" s="1004">
        <f t="shared" ca="1" si="92"/>
        <v>42430</v>
      </c>
      <c r="O181" s="1004">
        <f t="shared" ref="O181:O189" ca="1" si="93">IF(L181&gt;0,N181*100/L181,0)</f>
        <v>62.76627218934911</v>
      </c>
      <c r="P181" s="1004">
        <f t="shared" ref="P181:P189" ca="1" si="94">IF(M181&gt;0,N181*100/M181,0)</f>
        <v>87.484536082474222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67600</v>
      </c>
      <c r="M183" s="899">
        <f t="shared" ca="1" si="95"/>
        <v>48500</v>
      </c>
      <c r="N183" s="899">
        <f t="shared" ca="1" si="95"/>
        <v>42430</v>
      </c>
      <c r="O183" s="899">
        <f t="shared" ca="1" si="93"/>
        <v>62.76627218934911</v>
      </c>
      <c r="P183" s="899">
        <f t="shared" ca="1" si="94"/>
        <v>87.484536082474222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67600</v>
      </c>
      <c r="M184" s="893">
        <f t="shared" ca="1" si="96"/>
        <v>48500</v>
      </c>
      <c r="N184" s="893">
        <f t="shared" ca="1" si="96"/>
        <v>42430</v>
      </c>
      <c r="O184" s="893">
        <f t="shared" ca="1" si="93"/>
        <v>62.76627218934911</v>
      </c>
      <c r="P184" s="893">
        <f t="shared" ca="1" si="94"/>
        <v>87.484536082474222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IFERROR(__xludf.DUMMYFUNCTION("IMPORTRANGE(""https://docs.google.com/spreadsheets/d/1MeEWN-I1oV_STSDYn1IFDPWt_1FKiwhDph83XaGc0o0/edit?usp=sharing"",""งบพรบ!CO42"")"),67600)</f>
        <v>67600</v>
      </c>
      <c r="M186" s="899">
        <f ca="1">IFERROR(__xludf.DUMMYFUNCTION("IMPORTRANGE(""https://docs.google.com/spreadsheets/d/1MeEWN-I1oV_STSDYn1IFDPWt_1FKiwhDph83XaGc0o0/edit?usp=sharing"",""งบพรบ!CT42"")"),48500)</f>
        <v>48500</v>
      </c>
      <c r="N186" s="899">
        <f ca="1">IFERROR(__xludf.DUMMYFUNCTION("IMPORTRANGE(""https://docs.google.com/spreadsheets/d/1MeEWN-I1oV_STSDYn1IFDPWt_1FKiwhDph83XaGc0o0/edit?usp=sharing"",""งบพรบ!CV42"")"),42430)</f>
        <v>42430</v>
      </c>
      <c r="O186" s="899">
        <f t="shared" ca="1" si="93"/>
        <v>62.76627218934911</v>
      </c>
      <c r="P186" s="899">
        <f t="shared" ca="1" si="94"/>
        <v>87.484536082474222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IFERROR(__xludf.DUMMYFUNCTION("IMPORTRANGE(""https://docs.google.com/spreadsheets/d/1MeEWN-I1oV_STSDYn1IFDPWt_1FKiwhDph83XaGc0o0/edit?usp=sharing"",""งบพรบ!CR42"")"),0)</f>
        <v>0</v>
      </c>
      <c r="M189" s="899">
        <f ca="1">IFERROR(__xludf.DUMMYFUNCTION("IMPORTRANGE(""https://docs.google.com/spreadsheets/d/1MeEWN-I1oV_STSDYn1IFDPWt_1FKiwhDph83XaGc0o0/edit?usp=sharing"",""งบพรบ!CU42"")"),0)</f>
        <v>0</v>
      </c>
      <c r="N189" s="899">
        <f ca="1">IFERROR(__xludf.DUMMYFUNCTION("IMPORTRANGE(""https://docs.google.com/spreadsheets/d/1MeEWN-I1oV_STSDYn1IFDPWt_1FKiwhDph83XaGc0o0/edit?usp=sharing"",""งบพรบ!CW42"")"),0)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IFERROR(__xludf.DUMMYFUNCTION("IMPORTRANGE(""https://docs.google.com/spreadsheets/d/1QqKyyYR6Q21VydFLVH3TRQUabQu_ym0Zz7PgGX0-kHA/edit?usp=sharing"",""แผน!Z42"")"),6000)</f>
        <v>6000</v>
      </c>
      <c r="M191" s="1004"/>
      <c r="N191" s="1092">
        <v>3430</v>
      </c>
      <c r="O191" s="1004">
        <f ca="1">IF(L191&gt;0,N191*100/L191,0)</f>
        <v>57.166666666666664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IFERROR(__xludf.DUMMYFUNCTION("IMPORTRANGE(""https://docs.google.com/spreadsheets/d/1QqKyyYR6Q21VydFLVH3TRQUabQu_ym0Zz7PgGX0-kHA/edit?usp=sharing"",""แผน!AC42"")"),4)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21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21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37220</v>
      </c>
      <c r="O198" s="1004">
        <f ca="1">IF(L198&gt;0,N198*100/L198,0)</f>
        <v>95.435897435897431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IFERROR(__xludf.DUMMYFUNCTION("IMPORTRANGE(""https://docs.google.com/spreadsheets/d/1QqKyyYR6Q21VydFLVH3TRQUabQu_ym0Zz7PgGX0-kHA/edit?usp=sharing"",""แผน!AE42"")"),3000)</f>
        <v>3000</v>
      </c>
      <c r="M199" s="893"/>
      <c r="N199" s="1096">
        <v>1220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IFERROR(__xludf.DUMMYFUNCTION("IMPORTRANGE(""https://docs.google.com/spreadsheets/d/1QqKyyYR6Q21VydFLVH3TRQUabQu_ym0Zz7PgGX0-kHA/edit?usp=sharing"",""แผน!AF42"")"),24000)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IFERROR(__xludf.DUMMYFUNCTION("IMPORTRANGE(""https://docs.google.com/spreadsheets/d/1QqKyyYR6Q21VydFLVH3TRQUabQu_ym0Zz7PgGX0-kHA/edit?usp=sharing"",""แผน!AG42"")"),12000)</f>
        <v>12000</v>
      </c>
      <c r="M201" s="893"/>
      <c r="N201" s="1096">
        <v>12000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IFERROR(__xludf.DUMMYFUNCTION("IMPORTRANGE(""https://docs.google.com/spreadsheets/d/1QqKyyYR6Q21VydFLVH3TRQUabQu_ym0Zz7PgGX0-kHA/edit?usp=sharing"",""แผน!AH42"")"),0)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IFERROR(__xludf.DUMMYFUNCTION("IMPORTRANGE(""https://docs.google.com/spreadsheets/d/1QqKyyYR6Q21VydFLVH3TRQUabQu_ym0Zz7PgGX0-kHA/edit?usp=sharing"",""แผน!AI42"")"),3)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IFERROR(__xludf.DUMMYFUNCTION("IMPORTRANGE(""https://docs.google.com/spreadsheets/d/1QqKyyYR6Q21VydFLVH3TRQUabQu_ym0Zz7PgGX0-kHA/edit?usp=sharing"",""แผน!AK42"")"),0)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IFERROR(__xludf.DUMMYFUNCTION("IMPORTRANGE(""https://docs.google.com/spreadsheets/d/1QqKyyYR6Q21VydFLVH3TRQUabQu_ym0Zz7PgGX0-kHA/edit?usp=sharing"",""แผน!AL42"")"),0)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IFERROR(__xludf.DUMMYFUNCTION("IMPORTRANGE(""https://docs.google.com/spreadsheets/d/1QqKyyYR6Q21VydFLVH3TRQUabQu_ym0Zz7PgGX0-kHA/edit?usp=sharing"",""แผน!AM42"")"),0)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IFERROR(__xludf.DUMMYFUNCTION("IMPORTRANGE(""https://docs.google.com/spreadsheets/d/1QqKyyYR6Q21VydFLVH3TRQUabQu_ym0Zz7PgGX0-kHA/edit?usp=sharing"",""แผน!AN42"")"),0)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IFERROR(__xludf.DUMMYFUNCTION("IMPORTRANGE(""https://docs.google.com/spreadsheets/d/1QqKyyYR6Q21VydFLVH3TRQUabQu_ym0Zz7PgGX0-kHA/edit?usp=sharing"",""แผน!AN42"")"),0)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64000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22600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IFERROR(__xludf.DUMMYFUNCTION("IMPORTRANGE(""https://docs.google.com/spreadsheets/d/1QqKyyYR6Q21VydFLVH3TRQUabQu_ym0Zz7PgGX0-kHA/edit?usp=sharing"",""แผน!AP42"")"),5000)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IFERROR(__xludf.DUMMYFUNCTION("IMPORTRANGE(""https://docs.google.com/spreadsheets/d/1QqKyyYR6Q21VydFLVH3TRQUabQu_ym0Zz7PgGX0-kHA/edit?usp=sharing"",""แผน!AQ42"")"),17600)</f>
        <v>17600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IFERROR(__xludf.DUMMYFUNCTION("IMPORTRANGE(""https://docs.google.com/spreadsheets/d/1QqKyyYR6Q21VydFLVH3TRQUabQu_ym0Zz7PgGX0-kHA/edit?usp=sharing"",""แผน!AR42"")"),0)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IFERROR(__xludf.DUMMYFUNCTION("IMPORTRANGE(""https://docs.google.com/spreadsheets/d/1QqKyyYR6Q21VydFLVH3TRQUabQu_ym0Zz7PgGX0-kHA/edit?usp=sharing"",""แผน!AT42"")"),64000)</f>
        <v>64000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IFERROR(__xludf.DUMMYFUNCTION("IMPORTRANGE(""https://docs.google.com/spreadsheets/d/1QqKyyYR6Q21VydFLVH3TRQUabQu_ym0Zz7PgGX0-kHA/edit?usp=sharing"",""แผน!AT42"")"),64000)</f>
        <v>64000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IFERROR(__xludf.DUMMYFUNCTION("IMPORTRANGE(""https://docs.google.com/spreadsheets/d/1QqKyyYR6Q21VydFLVH3TRQUabQu_ym0Zz7PgGX0-kHA/edit?usp=sharing"",""แผน!AS42"")"),0)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IFERROR(__xludf.DUMMYFUNCTION("IMPORTRANGE(""https://docs.google.com/spreadsheets/d/1QqKyyYR6Q21VydFLVH3TRQUabQu_ym0Zz7PgGX0-kHA/edit?usp=sharing"",""แผน!AV42"")"),0)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IFERROR(__xludf.DUMMYFUNCTION("IMPORTRANGE(""https://docs.google.com/spreadsheets/d/1QqKyyYR6Q21VydFLVH3TRQUabQu_ym0Zz7PgGX0-kHA/edit?usp=sharing"",""แผน!AW42"")"),0)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IFERROR(__xludf.DUMMYFUNCTION("IMPORTRANGE(""https://docs.google.com/spreadsheets/d/1QqKyyYR6Q21VydFLVH3TRQUabQu_ym0Zz7PgGX0-kHA/edit?usp=sharing"",""แผน!AX42"")"),0)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IFERROR(__xludf.DUMMYFUNCTION("IMPORTRANGE(""https://docs.google.com/spreadsheets/d/1QqKyyYR6Q21VydFLVH3TRQUabQu_ym0Zz7PgGX0-kHA/edit?usp=sharing"",""แผน!AY42"")"),0)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IFERROR(__xludf.DUMMYFUNCTION("IMPORTRANGE(""https://docs.google.com/spreadsheets/d/1QqKyyYR6Q21VydFLVH3TRQUabQu_ym0Zz7PgGX0-kHA/edit?usp=sharing"",""แผน!BE42"")"),0)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IFERROR(__xludf.DUMMYFUNCTION("IMPORTRANGE(""https://docs.google.com/spreadsheets/d/1QqKyyYR6Q21VydFLVH3TRQUabQu_ym0Zz7PgGX0-kHA/edit?usp=sharing"",""แผน!AZ42"")"),0)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IFERROR(__xludf.DUMMYFUNCTION("IMPORTRANGE(""https://docs.google.com/spreadsheets/d/1QqKyyYR6Q21VydFLVH3TRQUabQu_ym0Zz7PgGX0-kHA/edit?usp=sharing"",""แผน!BA42"")"),0)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IFERROR(__xludf.DUMMYFUNCTION("IMPORTRANGE(""https://docs.google.com/spreadsheets/d/1QqKyyYR6Q21VydFLVH3TRQUabQu_ym0Zz7PgGX0-kHA/edit?usp=sharing"",""แผน!BB42"")"),0)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IFERROR(__xludf.DUMMYFUNCTION("IMPORTRANGE(""https://docs.google.com/spreadsheets/d/1QqKyyYR6Q21VydFLVH3TRQUabQu_ym0Zz7PgGX0-kHA/edit?usp=sharing"",""แผน!BC42"")"),0)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IFERROR(__xludf.DUMMYFUNCTION("IMPORTRANGE(""https://docs.google.com/spreadsheets/d/1QqKyyYR6Q21VydFLVH3TRQUabQu_ym0Zz7PgGX0-kHA/edit?usp=sharing"",""แผน!BF42"")"),0)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26</v>
      </c>
      <c r="J260" s="1073">
        <f t="shared" si="115"/>
        <v>26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30700</v>
      </c>
      <c r="M261" s="1004">
        <f t="shared" ca="1" si="116"/>
        <v>27700</v>
      </c>
      <c r="N261" s="1004">
        <f t="shared" ca="1" si="116"/>
        <v>26875</v>
      </c>
      <c r="O261" s="1004">
        <f t="shared" ref="O261:O269" ca="1" si="117">IF(L261&gt;0,N261*100/L261,0)</f>
        <v>87.54071661237785</v>
      </c>
      <c r="P261" s="1004">
        <f t="shared" ref="P261:P269" ca="1" si="118">IF(M261&gt;0,N261*100/M261,0)</f>
        <v>97.021660649819495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30700</v>
      </c>
      <c r="M263" s="899">
        <f t="shared" ca="1" si="119"/>
        <v>27700</v>
      </c>
      <c r="N263" s="899">
        <f t="shared" ca="1" si="119"/>
        <v>26875</v>
      </c>
      <c r="O263" s="899">
        <f t="shared" ca="1" si="117"/>
        <v>87.54071661237785</v>
      </c>
      <c r="P263" s="899">
        <f t="shared" ca="1" si="118"/>
        <v>97.021660649819495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30700</v>
      </c>
      <c r="M264" s="893">
        <f t="shared" ca="1" si="120"/>
        <v>27700</v>
      </c>
      <c r="N264" s="893">
        <f t="shared" ca="1" si="120"/>
        <v>26875</v>
      </c>
      <c r="O264" s="893">
        <f t="shared" ca="1" si="117"/>
        <v>87.54071661237785</v>
      </c>
      <c r="P264" s="893">
        <f t="shared" ca="1" si="118"/>
        <v>97.021660649819495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IFERROR(__xludf.DUMMYFUNCTION("IMPORTRANGE(""https://docs.google.com/spreadsheets/d/1MeEWN-I1oV_STSDYn1IFDPWt_1FKiwhDph83XaGc0o0/edit?usp=sharing"",""งบพรบ!CY42"")"),30700)</f>
        <v>30700</v>
      </c>
      <c r="M266" s="899">
        <f ca="1">IFERROR(__xludf.DUMMYFUNCTION("IMPORTRANGE(""https://docs.google.com/spreadsheets/d/1MeEWN-I1oV_STSDYn1IFDPWt_1FKiwhDph83XaGc0o0/edit?usp=sharing"",""งบพรบ!DD42"")"),27700)</f>
        <v>27700</v>
      </c>
      <c r="N266" s="899">
        <f ca="1">IFERROR(__xludf.DUMMYFUNCTION("IMPORTRANGE(""https://docs.google.com/spreadsheets/d/1MeEWN-I1oV_STSDYn1IFDPWt_1FKiwhDph83XaGc0o0/edit?usp=sharing"",""งบพรบ!DF42"")"),26875)</f>
        <v>26875</v>
      </c>
      <c r="O266" s="899">
        <f t="shared" ca="1" si="117"/>
        <v>87.54071661237785</v>
      </c>
      <c r="P266" s="899">
        <f t="shared" ca="1" si="118"/>
        <v>97.021660649819495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IFERROR(__xludf.DUMMYFUNCTION("IMPORTRANGE(""https://docs.google.com/spreadsheets/d/1MeEWN-I1oV_STSDYn1IFDPWt_1FKiwhDph83XaGc0o0/edit?usp=sharing"",""งบพรบ!DB42"")"),0)</f>
        <v>0</v>
      </c>
      <c r="M269" s="899">
        <f ca="1">IFERROR(__xludf.DUMMYFUNCTION("IMPORTRANGE(""https://docs.google.com/spreadsheets/d/1MeEWN-I1oV_STSDYn1IFDPWt_1FKiwhDph83XaGc0o0/edit?usp=sharing"",""งบพรบ!DE42"")"),0)</f>
        <v>0</v>
      </c>
      <c r="N269" s="899">
        <f ca="1">IFERROR(__xludf.DUMMYFUNCTION("IMPORTRANGE(""https://docs.google.com/spreadsheets/d/1MeEWN-I1oV_STSDYn1IFDPWt_1FKiwhDph83XaGc0o0/edit?usp=sharing"",""งบพรบ!DG42"")"),0)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IFERROR(__xludf.DUMMYFUNCTION("IMPORTRANGE(""https://docs.google.com/spreadsheets/d/1QqKyyYR6Q21VydFLVH3TRQUabQu_ym0Zz7PgGX0-kHA/edit?usp=sharing"",""แผน!EA42"")"),26)</f>
        <v>26</v>
      </c>
      <c r="J271" s="1024">
        <v>26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40</v>
      </c>
      <c r="J275" s="1170">
        <f t="shared" ca="1" si="122"/>
        <v>40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400</v>
      </c>
      <c r="J276" s="1170">
        <f t="shared" si="124"/>
        <v>400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147030</v>
      </c>
      <c r="M277" s="1004">
        <f t="shared" ca="1" si="125"/>
        <v>147030</v>
      </c>
      <c r="N277" s="1004">
        <f t="shared" ca="1" si="125"/>
        <v>138624</v>
      </c>
      <c r="O277" s="1004">
        <f t="shared" ref="O277:O285" ca="1" si="126">IF(L277&gt;0,N277*100/L277,0)</f>
        <v>94.282799428688023</v>
      </c>
      <c r="P277" s="1004">
        <f t="shared" ref="P277:P285" ca="1" si="127">IF(M277&gt;0,N277*100/M277,0)</f>
        <v>94.282799428688023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147030</v>
      </c>
      <c r="M279" s="899">
        <f t="shared" ca="1" si="128"/>
        <v>147030</v>
      </c>
      <c r="N279" s="899">
        <f t="shared" ca="1" si="128"/>
        <v>138624</v>
      </c>
      <c r="O279" s="899">
        <f t="shared" ca="1" si="126"/>
        <v>94.282799428688023</v>
      </c>
      <c r="P279" s="899">
        <f t="shared" ca="1" si="127"/>
        <v>94.282799428688023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147030</v>
      </c>
      <c r="M280" s="893">
        <f t="shared" ca="1" si="129"/>
        <v>147030</v>
      </c>
      <c r="N280" s="893">
        <f t="shared" ca="1" si="129"/>
        <v>138624</v>
      </c>
      <c r="O280" s="893">
        <f t="shared" ca="1" si="126"/>
        <v>94.282799428688023</v>
      </c>
      <c r="P280" s="893">
        <f t="shared" ca="1" si="127"/>
        <v>94.282799428688023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IFERROR(__xludf.DUMMYFUNCTION("IMPORTRANGE(""https://docs.google.com/spreadsheets/d/1MeEWN-I1oV_STSDYn1IFDPWt_1FKiwhDph83XaGc0o0/edit?usp=sharing"",""งบพรบ!DI42"")"),147030)</f>
        <v>147030</v>
      </c>
      <c r="M282" s="899">
        <f ca="1">IFERROR(__xludf.DUMMYFUNCTION("IMPORTRANGE(""https://docs.google.com/spreadsheets/d/1MeEWN-I1oV_STSDYn1IFDPWt_1FKiwhDph83XaGc0o0/edit?usp=sharing"",""งบพรบ!DN42"")"),147030)</f>
        <v>147030</v>
      </c>
      <c r="N282" s="899">
        <f ca="1">IFERROR(__xludf.DUMMYFUNCTION("IMPORTRANGE(""https://docs.google.com/spreadsheets/d/1MeEWN-I1oV_STSDYn1IFDPWt_1FKiwhDph83XaGc0o0/edit?usp=sharing"",""งบพรบ!DP42"")"),138624)</f>
        <v>138624</v>
      </c>
      <c r="O282" s="899">
        <f t="shared" ca="1" si="126"/>
        <v>94.282799428688023</v>
      </c>
      <c r="P282" s="899">
        <f t="shared" ca="1" si="127"/>
        <v>94.282799428688023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IFERROR(__xludf.DUMMYFUNCTION("IMPORTRANGE(""https://docs.google.com/spreadsheets/d/1MeEWN-I1oV_STSDYn1IFDPWt_1FKiwhDph83XaGc0o0/edit?usp=sharing"",""งบพรบ!DL42"")"),0)</f>
        <v>0</v>
      </c>
      <c r="M285" s="899">
        <f ca="1">IFERROR(__xludf.DUMMYFUNCTION("IMPORTRANGE(""https://docs.google.com/spreadsheets/d/1MeEWN-I1oV_STSDYn1IFDPWt_1FKiwhDph83XaGc0o0/edit?usp=sharing"",""งบพรบ!DO42"")"),0)</f>
        <v>0</v>
      </c>
      <c r="N285" s="899">
        <f ca="1">IFERROR(__xludf.DUMMYFUNCTION("IMPORTRANGE(""https://docs.google.com/spreadsheets/d/1MeEWN-I1oV_STSDYn1IFDPWt_1FKiwhDph83XaGc0o0/edit?usp=sharing"",""งบพรบ!DQ42"")"),0)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IFERROR(__xludf.DUMMYFUNCTION("IMPORTRANGE(""https://docs.google.com/spreadsheets/d/1QqKyyYR6Q21VydFLVH3TRQUabQu_ym0Zz7PgGX0-kHA/edit?usp=sharing"",""แผน!EC42"")"),400)</f>
        <v>400</v>
      </c>
      <c r="J287" s="1024">
        <v>400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IFERROR(__xludf.DUMMYFUNCTION("IMPORTRANGE(""https://docs.google.com/spreadsheets/d/1QqKyyYR6Q21VydFLVH3TRQUabQu_ym0Zz7PgGX0-kHA/edit?usp=sharing"",""แผน!EB42"")"),40)</f>
        <v>40</v>
      </c>
      <c r="J288" s="1031">
        <f ca="1">IF(AND(J291&gt;=I288,J294&gt;=I288),J294,0)</f>
        <v>40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IFERROR(__xludf.DUMMYFUNCTION("IMPORTRANGE(""https://docs.google.com/spreadsheets/d/1QqKyyYR6Q21VydFLVH3TRQUabQu_ym0Zz7PgGX0-kHA/edit?usp=sharing"",""แผน!EB42"")"),40)</f>
        <v>40</v>
      </c>
      <c r="J290" s="1024">
        <v>40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IFERROR(__xludf.DUMMYFUNCTION("IMPORTRANGE(""https://docs.google.com/spreadsheets/d/1QqKyyYR6Q21VydFLVH3TRQUabQu_ym0Zz7PgGX0-kHA/edit?usp=sharing"",""แผน!EB42"")"),40)</f>
        <v>40</v>
      </c>
      <c r="J291" s="1024">
        <v>40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IFERROR(__xludf.DUMMYFUNCTION("IMPORTRANGE(""https://docs.google.com/spreadsheets/d/1QqKyyYR6Q21VydFLVH3TRQUabQu_ym0Zz7PgGX0-kHA/edit?usp=sharing"",""แผน!EB42"")"),40)</f>
        <v>40</v>
      </c>
      <c r="J293" s="1024">
        <v>40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IFERROR(__xludf.DUMMYFUNCTION("IMPORTRANGE(""https://docs.google.com/spreadsheets/d/1QqKyyYR6Q21VydFLVH3TRQUabQu_ym0Zz7PgGX0-kHA/edit?usp=sharing"",""แผน!EB42"")"),40)</f>
        <v>40</v>
      </c>
      <c r="J294" s="1183">
        <v>40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62700</v>
      </c>
      <c r="O298" s="1004">
        <f t="shared" ref="O298:O306" ca="1" si="136">IF(L298&gt;0,N298*100/L298,0)</f>
        <v>76.092233009708735</v>
      </c>
      <c r="P298" s="1004">
        <f t="shared" ref="P298:P306" ca="1" si="137">IF(M298&gt;0,N298*100/M298,0)</f>
        <v>97.360248447204967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62700</v>
      </c>
      <c r="O300" s="899">
        <f t="shared" ca="1" si="136"/>
        <v>76.092233009708735</v>
      </c>
      <c r="P300" s="899">
        <f t="shared" ca="1" si="137"/>
        <v>97.360248447204967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62700</v>
      </c>
      <c r="O301" s="893">
        <f t="shared" ca="1" si="136"/>
        <v>76.092233009708735</v>
      </c>
      <c r="P301" s="893">
        <f t="shared" ca="1" si="137"/>
        <v>97.360248447204967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IFERROR(__xludf.DUMMYFUNCTION("IMPORTRANGE(""https://docs.google.com/spreadsheets/d/1MeEWN-I1oV_STSDYn1IFDPWt_1FKiwhDph83XaGc0o0/edit?usp=sharing"",""งบพรบ!DS42"")"),82400)</f>
        <v>82400</v>
      </c>
      <c r="M303" s="899">
        <f ca="1">IFERROR(__xludf.DUMMYFUNCTION("IMPORTRANGE(""https://docs.google.com/spreadsheets/d/1MeEWN-I1oV_STSDYn1IFDPWt_1FKiwhDph83XaGc0o0/edit?usp=sharing"",""งบพรบ!DX42"")"),64400)</f>
        <v>64400</v>
      </c>
      <c r="N303" s="899">
        <f ca="1">IFERROR(__xludf.DUMMYFUNCTION("IMPORTRANGE(""https://docs.google.com/spreadsheets/d/1MeEWN-I1oV_STSDYn1IFDPWt_1FKiwhDph83XaGc0o0/edit?usp=sharing"",""งบพรบ!DZ42"")"),62700)</f>
        <v>62700</v>
      </c>
      <c r="O303" s="899">
        <f t="shared" ca="1" si="136"/>
        <v>76.092233009708735</v>
      </c>
      <c r="P303" s="899">
        <f t="shared" ca="1" si="137"/>
        <v>97.360248447204967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IFERROR(__xludf.DUMMYFUNCTION("IMPORTRANGE(""https://docs.google.com/spreadsheets/d/1MeEWN-I1oV_STSDYn1IFDPWt_1FKiwhDph83XaGc0o0/edit?usp=sharing"",""งบพรบ!DV42"")"),0)</f>
        <v>0</v>
      </c>
      <c r="M306" s="899">
        <f ca="1">IFERROR(__xludf.DUMMYFUNCTION("IMPORTRANGE(""https://docs.google.com/spreadsheets/d/1MeEWN-I1oV_STSDYn1IFDPWt_1FKiwhDph83XaGc0o0/edit?usp=sharing"",""งบพรบ!DY42"")"),0)</f>
        <v>0</v>
      </c>
      <c r="N306" s="899">
        <f ca="1">IFERROR(__xludf.DUMMYFUNCTION("IMPORTRANGE(""https://docs.google.com/spreadsheets/d/1MeEWN-I1oV_STSDYn1IFDPWt_1FKiwhDph83XaGc0o0/edit?usp=sharing"",""งบพรบ!EA42"")"),0)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IFERROR(__xludf.DUMMYFUNCTION("IMPORTRANGE(""https://docs.google.com/spreadsheets/d/1QqKyyYR6Q21VydFLVH3TRQUabQu_ym0Zz7PgGX0-kHA/edit?usp=sharing"",""แผน!ED42"")"),20)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IFERROR(__xludf.DUMMYFUNCTION("IMPORTRANGE(""https://docs.google.com/spreadsheets/d/1QqKyyYR6Q21VydFLVH3TRQUabQu_ym0Zz7PgGX0-kHA/edit?usp=sharing"",""แผน!ED42"")"),20)</f>
        <v>20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IFERROR(__xludf.DUMMYFUNCTION("IMPORTRANGE(""https://docs.google.com/spreadsheets/d/1QqKyyYR6Q21VydFLVH3TRQUabQu_ym0Zz7PgGX0-kHA/edit?usp=sharing"",""แผน!ED42"")"),20)</f>
        <v>20</v>
      </c>
      <c r="J311" s="1024">
        <v>20</v>
      </c>
      <c r="K311" s="893">
        <f t="shared" ca="1" si="141"/>
        <v>100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IFERROR(__xludf.DUMMYFUNCTION("IMPORTRANGE(""https://docs.google.com/spreadsheets/d/1QqKyyYR6Q21VydFLVH3TRQUabQu_ym0Zz7PgGX0-kHA/edit?usp=sharing"",""แผน!EE42"")"),4)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IFERROR(__xludf.DUMMYFUNCTION("IMPORTRANGE(""https://docs.google.com/spreadsheets/d/1MeEWN-I1oV_STSDYn1IFDPWt_1FKiwhDph83XaGc0o0/edit?usp=sharing"",""งบพรบ!EC42"")"),0)</f>
        <v>0</v>
      </c>
      <c r="M320" s="899">
        <f ca="1">IFERROR(__xludf.DUMMYFUNCTION("IMPORTRANGE(""https://docs.google.com/spreadsheets/d/1MeEWN-I1oV_STSDYn1IFDPWt_1FKiwhDph83XaGc0o0/edit?usp=sharing"",""งบพรบ!EH42"")"),0)</f>
        <v>0</v>
      </c>
      <c r="N320" s="899">
        <f ca="1">IFERROR(__xludf.DUMMYFUNCTION("IMPORTRANGE(""https://docs.google.com/spreadsheets/d/1MeEWN-I1oV_STSDYn1IFDPWt_1FKiwhDph83XaGc0o0/edit?usp=sharing"",""งบพรบ!EJ42"")"),0)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IFERROR(__xludf.DUMMYFUNCTION("IMPORTRANGE(""https://docs.google.com/spreadsheets/d/1MeEWN-I1oV_STSDYn1IFDPWt_1FKiwhDph83XaGc0o0/edit?usp=sharing"",""งบพรบ!EF42"")"),0)</f>
        <v>0</v>
      </c>
      <c r="M323" s="899">
        <f ca="1">IFERROR(__xludf.DUMMYFUNCTION("IMPORTRANGE(""https://docs.google.com/spreadsheets/d/1MeEWN-I1oV_STSDYn1IFDPWt_1FKiwhDph83XaGc0o0/edit?usp=sharing"",""งบพรบ!EI42"")"),0)</f>
        <v>0</v>
      </c>
      <c r="N323" s="899">
        <f ca="1">IFERROR(__xludf.DUMMYFUNCTION("IMPORTRANGE(""https://docs.google.com/spreadsheets/d/1MeEWN-I1oV_STSDYn1IFDPWt_1FKiwhDph83XaGc0o0/edit?usp=sharing"",""งบพรบ!EK42"")"),0)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IFERROR(__xludf.DUMMYFUNCTION("IMPORTRANGE(""https://docs.google.com/spreadsheets/d/1QqKyyYR6Q21VydFLVH3TRQUabQu_ym0Zz7PgGX0-kHA/edit?usp=sharing"",""แผน!EF42"")"),0)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IFERROR(__xludf.DUMMYFUNCTION("IMPORTRANGE(""https://docs.google.com/spreadsheets/d/1QqKyyYR6Q21VydFLVH3TRQUabQu_ym0Zz7PgGX0-kHA/edit?usp=sharing"",""แผน!EG42"")"),5600)</f>
        <v>5600</v>
      </c>
      <c r="J327" s="1202">
        <f ca="1">J338+J341+J342+J343</f>
        <v>6159</v>
      </c>
      <c r="K327" s="1203">
        <f ca="1">IF(I327&gt;0,J327*100/I327,0)</f>
        <v>109.98214285714286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271600</v>
      </c>
      <c r="M328" s="1004">
        <f t="shared" ca="1" si="149"/>
        <v>206200</v>
      </c>
      <c r="N328" s="1004">
        <f t="shared" ca="1" si="149"/>
        <v>121132.94</v>
      </c>
      <c r="O328" s="1004">
        <f t="shared" ref="O328:O336" ca="1" si="150">IF(L328&gt;0,N328*100/L328,0)</f>
        <v>44.599756995581735</v>
      </c>
      <c r="P328" s="1004">
        <f t="shared" ref="P328:P336" ca="1" si="151">IF(M328&gt;0,N328*100/M328,0)</f>
        <v>58.745363724539281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271600</v>
      </c>
      <c r="M330" s="899">
        <f t="shared" ca="1" si="152"/>
        <v>206200</v>
      </c>
      <c r="N330" s="899">
        <f t="shared" ca="1" si="152"/>
        <v>121132.94</v>
      </c>
      <c r="O330" s="899">
        <f t="shared" ca="1" si="150"/>
        <v>44.599756995581735</v>
      </c>
      <c r="P330" s="899">
        <f t="shared" ca="1" si="151"/>
        <v>58.745363724539281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271600</v>
      </c>
      <c r="M331" s="893">
        <f t="shared" ca="1" si="153"/>
        <v>206200</v>
      </c>
      <c r="N331" s="893">
        <f t="shared" ca="1" si="153"/>
        <v>121132.94</v>
      </c>
      <c r="O331" s="893">
        <f t="shared" ca="1" si="150"/>
        <v>44.599756995581735</v>
      </c>
      <c r="P331" s="893">
        <f t="shared" ca="1" si="151"/>
        <v>58.745363724539281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IFERROR(__xludf.DUMMYFUNCTION("IMPORTRANGE(""https://docs.google.com/spreadsheets/d/1MeEWN-I1oV_STSDYn1IFDPWt_1FKiwhDph83XaGc0o0/edit?usp=sharing"",""งบพรบ!EM42"")"),271600)</f>
        <v>271600</v>
      </c>
      <c r="M333" s="899">
        <f ca="1">IFERROR(__xludf.DUMMYFUNCTION("IMPORTRANGE(""https://docs.google.com/spreadsheets/d/1MeEWN-I1oV_STSDYn1IFDPWt_1FKiwhDph83XaGc0o0/edit?usp=sharing"",""งบพรบ!ER42"")"),206200)</f>
        <v>206200</v>
      </c>
      <c r="N333" s="899">
        <f ca="1">IFERROR(__xludf.DUMMYFUNCTION("IMPORTRANGE(""https://docs.google.com/spreadsheets/d/1MeEWN-I1oV_STSDYn1IFDPWt_1FKiwhDph83XaGc0o0/edit?usp=sharing"",""งบพรบ!ET42"")"),121132.94)</f>
        <v>121132.94</v>
      </c>
      <c r="O333" s="899">
        <f t="shared" ca="1" si="150"/>
        <v>44.599756995581735</v>
      </c>
      <c r="P333" s="899">
        <f t="shared" ca="1" si="151"/>
        <v>58.745363724539281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IFERROR(__xludf.DUMMYFUNCTION("IMPORTRANGE(""https://docs.google.com/spreadsheets/d/1MeEWN-I1oV_STSDYn1IFDPWt_1FKiwhDph83XaGc0o0/edit?usp=sharing"",""งบพรบ!EP42"")"),0)</f>
        <v>0</v>
      </c>
      <c r="M336" s="899">
        <f ca="1">IFERROR(__xludf.DUMMYFUNCTION("IMPORTRANGE(""https://docs.google.com/spreadsheets/d/1MeEWN-I1oV_STSDYn1IFDPWt_1FKiwhDph83XaGc0o0/edit?usp=sharing"",""งบพรบ!ES42"")"),0)</f>
        <v>0</v>
      </c>
      <c r="N336" s="899">
        <f ca="1">IFERROR(__xludf.DUMMYFUNCTION("IMPORTRANGE(""https://docs.google.com/spreadsheets/d/1MeEWN-I1oV_STSDYn1IFDPWt_1FKiwhDph83XaGc0o0/edit?usp=sharing"",""งบพรบ!EU42"")"),0)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IFERROR(__xludf.DUMMYFUNCTION("IMPORTRANGE(""https://docs.google.com/spreadsheets/d/1QqKyyYR6Q21VydFLVH3TRQUabQu_ym0Zz7PgGX0-kHA/edit?usp=sharing"",""แผน!EG42"")"),5600)</f>
        <v>5600</v>
      </c>
      <c r="J338" s="892">
        <f ca="1">IFERROR(__xludf.DUMMYFUNCTION("IMPORTRANGE(""https://docs.google.com/spreadsheets/d/1kVcqe37tkHyjCSG3S0O1AXqVkqjo8mSIZil3BcpIysc/edit?usp=sharing"",""ศูนย์!D42"")"),6092)</f>
        <v>6092</v>
      </c>
      <c r="K338" s="893">
        <f ca="1">IF(I338&gt;0,J338*100/I338,0)</f>
        <v>108.78571428571429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IFERROR(__xludf.DUMMYFUNCTION("IMPORTRANGE(""https://docs.google.com/spreadsheets/d/1QqKyyYR6Q21VydFLVH3TRQUabQu_ym0Zz7PgGX0-kHA/edit?usp=sharing"",""แผน!EH42"")"),8)</f>
        <v>8</v>
      </c>
      <c r="J340" s="892">
        <f ca="1">IFERROR(__xludf.DUMMYFUNCTION("IMPORTRANGE(""https://docs.google.com/spreadsheets/d/1kVcqe37tkHyjCSG3S0O1AXqVkqjo8mSIZil3BcpIysc/edit?usp=sharing"",""ศูนย์!E42"")"),5)</f>
        <v>5</v>
      </c>
      <c r="K340" s="893">
        <f ca="1">IF(I340&gt;0,J340*100/I340,0)</f>
        <v>62.5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IFERROR(__xludf.DUMMYFUNCTION("IMPORTRANGE(""https://docs.google.com/spreadsheets/d/1kVcqe37tkHyjCSG3S0O1AXqVkqjo8mSIZil3BcpIysc/edit?usp=sharing"",""ศูนย์!F42"")"),67)</f>
        <v>67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IFERROR(__xludf.DUMMYFUNCTION("IMPORTRANGE(""https://docs.google.com/spreadsheets/d/1kVcqe37tkHyjCSG3S0O1AXqVkqjo8mSIZil3BcpIysc/edit?usp=sharing"",""ศูนย์!G42"")"),0)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IFERROR(__xludf.DUMMYFUNCTION("IMPORTRANGE(""https://docs.google.com/spreadsheets/d/1kVcqe37tkHyjCSG3S0O1AXqVkqjo8mSIZil3BcpIysc/edit?usp=sharing"",""ศูนย์!H42"")"),0)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1261590</v>
      </c>
      <c r="M345" s="1004">
        <f t="shared" ca="1" si="155"/>
        <v>1106430</v>
      </c>
      <c r="N345" s="1004">
        <f t="shared" ca="1" si="155"/>
        <v>844208.86</v>
      </c>
      <c r="O345" s="1004">
        <f t="shared" ref="O345:O353" ca="1" si="156">IF(L345&gt;0,N345*100/L345,0)</f>
        <v>66.916261225913331</v>
      </c>
      <c r="P345" s="1004">
        <f t="shared" ref="P345:P353" ca="1" si="157">IF(M345&gt;0,N345*100/M345,0)</f>
        <v>76.300250354744534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1261590</v>
      </c>
      <c r="M347" s="899">
        <f t="shared" ca="1" si="158"/>
        <v>1106430</v>
      </c>
      <c r="N347" s="899">
        <f t="shared" ca="1" si="158"/>
        <v>844208.86</v>
      </c>
      <c r="O347" s="899">
        <f t="shared" ca="1" si="156"/>
        <v>66.916261225913331</v>
      </c>
      <c r="P347" s="899">
        <f t="shared" ca="1" si="157"/>
        <v>76.300250354744534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1044090</v>
      </c>
      <c r="M348" s="893">
        <f t="shared" ca="1" si="159"/>
        <v>888930</v>
      </c>
      <c r="N348" s="893">
        <f t="shared" ca="1" si="159"/>
        <v>626708.86</v>
      </c>
      <c r="O348" s="893">
        <f t="shared" ca="1" si="156"/>
        <v>60.024409773103848</v>
      </c>
      <c r="P348" s="893">
        <f t="shared" ca="1" si="157"/>
        <v>70.501486056269897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IFERROR(__xludf.DUMMYFUNCTION("IMPORTRANGE(""https://docs.google.com/spreadsheets/d/1MeEWN-I1oV_STSDYn1IFDPWt_1FKiwhDph83XaGc0o0/edit?usp=sharing"",""งบพรบ!EW42"")"),1044090)</f>
        <v>1044090</v>
      </c>
      <c r="M350" s="899">
        <f ca="1">IFERROR(__xludf.DUMMYFUNCTION("IMPORTRANGE(""https://docs.google.com/spreadsheets/d/1MeEWN-I1oV_STSDYn1IFDPWt_1FKiwhDph83XaGc0o0/edit?usp=sharing"",""งบพรบ!FB42"")"),888930)</f>
        <v>888930</v>
      </c>
      <c r="N350" s="899">
        <f ca="1">IFERROR(__xludf.DUMMYFUNCTION("IMPORTRANGE(""https://docs.google.com/spreadsheets/d/1MeEWN-I1oV_STSDYn1IFDPWt_1FKiwhDph83XaGc0o0/edit?usp=sharing"",""งบพรบ!FD42"")"),626708.86)</f>
        <v>626708.86</v>
      </c>
      <c r="O350" s="899">
        <f t="shared" ca="1" si="156"/>
        <v>60.024409773103848</v>
      </c>
      <c r="P350" s="899">
        <f t="shared" ca="1" si="157"/>
        <v>70.501486056269897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217500</v>
      </c>
      <c r="M351" s="893">
        <f t="shared" ca="1" si="160"/>
        <v>217500</v>
      </c>
      <c r="N351" s="893">
        <f t="shared" ca="1" si="160"/>
        <v>217500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IFERROR(__xludf.DUMMYFUNCTION("IMPORTRANGE(""https://docs.google.com/spreadsheets/d/1MeEWN-I1oV_STSDYn1IFDPWt_1FKiwhDph83XaGc0o0/edit?usp=sharing"",""งบพรบ!EZ42"")"),217500)</f>
        <v>217500</v>
      </c>
      <c r="M353" s="899">
        <f ca="1">IFERROR(__xludf.DUMMYFUNCTION("IMPORTRANGE(""https://docs.google.com/spreadsheets/d/1MeEWN-I1oV_STSDYn1IFDPWt_1FKiwhDph83XaGc0o0/edit?usp=sharing"",""งบพรบ!FC42"")"),217500)</f>
        <v>217500</v>
      </c>
      <c r="N353" s="899">
        <f ca="1">IFERROR(__xludf.DUMMYFUNCTION("IMPORTRANGE(""https://docs.google.com/spreadsheets/d/1MeEWN-I1oV_STSDYn1IFDPWt_1FKiwhDph83XaGc0o0/edit?usp=sharing"",""งบพรบ!FE42"")"),217500)</f>
        <v>217500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IFERROR(__xludf.DUMMYFUNCTION("IMPORTRANGE(""https://docs.google.com/spreadsheets/d/1QqKyyYR6Q21VydFLVH3TRQUabQu_ym0Zz7PgGX0-kHA/edit?usp=sharing"",""แผน!EP42"")"),670)</f>
        <v>670</v>
      </c>
      <c r="J355" s="1218">
        <f ca="1">J362</f>
        <v>275</v>
      </c>
      <c r="K355" s="1219">
        <f ca="1">IF(I355&gt;0,J355*100/I355,0)</f>
        <v>41.044776119402982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IFERROR(__xludf.DUMMYFUNCTION("IMPORTRANGE(""https://docs.google.com/spreadsheets/d/1XWAQStnk-4SwqDmLtmXYiTMKHgktTP8We1SCoS47DrQ/edit?usp=sharing"",""จัดที่ดิน!W42"")"),374)</f>
        <v>374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IFERROR(__xludf.DUMMYFUNCTION("IMPORTRANGE(""https://docs.google.com/spreadsheets/d/1QqKyyYR6Q21VydFLVH3TRQUabQu_ym0Zz7PgGX0-kHA/edit?usp=sharing"",""แผน!EO42"")"),6700)</f>
        <v>6700</v>
      </c>
      <c r="J359" s="892">
        <f ca="1">IFERROR(__xludf.DUMMYFUNCTION("IMPORTRANGE(""https://docs.google.com/spreadsheets/d/1XWAQStnk-4SwqDmLtmXYiTMKHgktTP8We1SCoS47DrQ/edit?usp=sharing"",""จัดที่ดิน!X42"")"),2894.66)</f>
        <v>2894.66</v>
      </c>
      <c r="K359" s="893">
        <f t="shared" ca="1" si="161"/>
        <v>43.203880597014923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IFERROR(__xludf.DUMMYFUNCTION("IMPORTRANGE(""https://docs.google.com/spreadsheets/d/1QqKyyYR6Q21VydFLVH3TRQUabQu_ym0Zz7PgGX0-kHA/edit?usp=sharing"",""แผน!EP42"")"),670)</f>
        <v>670</v>
      </c>
      <c r="J360" s="892">
        <f ca="1">IFERROR(__xludf.DUMMYFUNCTION("IMPORTRANGE(""https://docs.google.com/spreadsheets/d/1XWAQStnk-4SwqDmLtmXYiTMKHgktTP8We1SCoS47DrQ/edit?usp=sharing"",""จัดที่ดิน!Y42"")"),380)</f>
        <v>380</v>
      </c>
      <c r="K360" s="893">
        <f t="shared" ca="1" si="161"/>
        <v>56.71641791044776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IFERROR(__xludf.DUMMYFUNCTION("IMPORTRANGE(""https://docs.google.com/spreadsheets/d/1XWAQStnk-4SwqDmLtmXYiTMKHgktTP8We1SCoS47DrQ/edit?usp=sharing"",""จัดที่ดิน!Z42"")"),2932.07)</f>
        <v>2932.07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IFERROR(__xludf.DUMMYFUNCTION("IMPORTRANGE(""https://docs.google.com/spreadsheets/d/1QqKyyYR6Q21VydFLVH3TRQUabQu_ym0Zz7PgGX0-kHA/edit?usp=sharing"",""แผน!EP42"")"),670)</f>
        <v>670</v>
      </c>
      <c r="J362" s="892">
        <f ca="1">IFERROR(__xludf.DUMMYFUNCTION("IMPORTRANGE(""https://docs.google.com/spreadsheets/d/1XWAQStnk-4SwqDmLtmXYiTMKHgktTP8We1SCoS47DrQ/edit?usp=sharing"",""จัดที่ดิน!AA42"")"),275)</f>
        <v>275</v>
      </c>
      <c r="K362" s="893">
        <f t="shared" ca="1" si="161"/>
        <v>41.044776119402982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IFERROR(__xludf.DUMMYFUNCTION("IMPORTRANGE(""https://docs.google.com/spreadsheets/d/1XWAQStnk-4SwqDmLtmXYiTMKHgktTP8We1SCoS47DrQ/edit?usp=sharing"",""จัดที่ดิน!AB42"")"),2107.74)</f>
        <v>2107.7399999999998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1120</v>
      </c>
      <c r="J364" s="1231">
        <f t="shared" ca="1" si="162"/>
        <v>685</v>
      </c>
      <c r="K364" s="1232">
        <f t="shared" ca="1" si="161"/>
        <v>61.160714285714285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IFERROR(__xludf.DUMMYFUNCTION("IMPORTRANGE(""https://docs.google.com/spreadsheets/d/1QqKyyYR6Q21VydFLVH3TRQUabQu_ym0Zz7PgGX0-kHA/edit?usp=sharing"",""แผน!EJ42"")"),120)</f>
        <v>120</v>
      </c>
      <c r="J365" s="1239">
        <f ca="1">J372</f>
        <v>61</v>
      </c>
      <c r="K365" s="1240">
        <f t="shared" ca="1" si="161"/>
        <v>50.833333333333336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IFERROR(__xludf.DUMMYFUNCTION("IMPORTRANGE(""https://docs.google.com/spreadsheets/d/1XWAQStnk-4SwqDmLtmXYiTMKHgktTP8We1SCoS47DrQ/edit?usp=sharing"",""จัดที่ดิน!E42"")"),68)</f>
        <v>68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IFERROR(__xludf.DUMMYFUNCTION("IMPORTRANGE(""https://docs.google.com/spreadsheets/d/1QqKyyYR6Q21VydFLVH3TRQUabQu_ym0Zz7PgGX0-kHA/edit?usp=sharing"",""แผน!EI42"")"),1200)</f>
        <v>1200</v>
      </c>
      <c r="J369" s="892">
        <f ca="1">IFERROR(__xludf.DUMMYFUNCTION("IMPORTRANGE(""https://docs.google.com/spreadsheets/d/1XWAQStnk-4SwqDmLtmXYiTMKHgktTP8We1SCoS47DrQ/edit?usp=sharing"",""จัดที่ดิน!F42"")"),520.43)</f>
        <v>520.42999999999995</v>
      </c>
      <c r="K369" s="893">
        <f t="shared" ca="1" si="163"/>
        <v>43.369166666666658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IFERROR(__xludf.DUMMYFUNCTION("IMPORTRANGE(""https://docs.google.com/spreadsheets/d/1QqKyyYR6Q21VydFLVH3TRQUabQu_ym0Zz7PgGX0-kHA/edit?usp=sharing"",""แผน!EJ42"")"),120)</f>
        <v>120</v>
      </c>
      <c r="J370" s="892">
        <f ca="1">IFERROR(__xludf.DUMMYFUNCTION("IMPORTRANGE(""https://docs.google.com/spreadsheets/d/1XWAQStnk-4SwqDmLtmXYiTMKHgktTP8We1SCoS47DrQ/edit?usp=sharing"",""จัดที่ดิน!G42"")"),74)</f>
        <v>74</v>
      </c>
      <c r="K370" s="893">
        <f t="shared" ca="1" si="163"/>
        <v>61.666666666666664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IFERROR(__xludf.DUMMYFUNCTION("IMPORTRANGE(""https://docs.google.com/spreadsheets/d/1XWAQStnk-4SwqDmLtmXYiTMKHgktTP8We1SCoS47DrQ/edit?usp=sharing"",""จัดที่ดิน!H42"")"),557.84)</f>
        <v>557.84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IFERROR(__xludf.DUMMYFUNCTION("IMPORTRANGE(""https://docs.google.com/spreadsheets/d/1QqKyyYR6Q21VydFLVH3TRQUabQu_ym0Zz7PgGX0-kHA/edit?usp=sharing"",""แผน!EJ42"")"),120)</f>
        <v>120</v>
      </c>
      <c r="J372" s="892">
        <f ca="1">IFERROR(__xludf.DUMMYFUNCTION("IMPORTRANGE(""https://docs.google.com/spreadsheets/d/1XWAQStnk-4SwqDmLtmXYiTMKHgktTP8We1SCoS47DrQ/edit?usp=sharing"",""จัดที่ดิน!I42"")"),61)</f>
        <v>61</v>
      </c>
      <c r="K372" s="893">
        <f t="shared" ca="1" si="163"/>
        <v>50.833333333333336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IFERROR(__xludf.DUMMYFUNCTION("IMPORTRANGE(""https://docs.google.com/spreadsheets/d/1XWAQStnk-4SwqDmLtmXYiTMKHgktTP8We1SCoS47DrQ/edit?usp=sharing"",""จัดที่ดิน!J42"")"),426.39)</f>
        <v>426.39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IFERROR(__xludf.DUMMYFUNCTION("IMPORTRANGE(""https://docs.google.com/spreadsheets/d/1QqKyyYR6Q21VydFLVH3TRQUabQu_ym0Zz7PgGX0-kHA/edit?usp=sharing"",""แผน!EU42"")"),1000)</f>
        <v>1000</v>
      </c>
      <c r="J374" s="1239">
        <f ca="1">J381</f>
        <v>624</v>
      </c>
      <c r="K374" s="1240">
        <f t="shared" ca="1" si="163"/>
        <v>62.4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IFERROR(__xludf.DUMMYFUNCTION("IMPORTRANGE(""https://docs.google.com/spreadsheets/d/1XWAQStnk-4SwqDmLtmXYiTMKHgktTP8We1SCoS47DrQ/edit?usp=sharing"",""จัดที่ดิน!AH42"")"),306)</f>
        <v>306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IFERROR(__xludf.DUMMYFUNCTION("IMPORTRANGE(""https://docs.google.com/spreadsheets/d/1QqKyyYR6Q21VydFLVH3TRQUabQu_ym0Zz7PgGX0-kHA/edit?usp=sharing"",""แผน!ET42"")"),5500)</f>
        <v>5500</v>
      </c>
      <c r="J378" s="892">
        <f ca="1">IFERROR(__xludf.DUMMYFUNCTION("IMPORTRANGE(""https://docs.google.com/spreadsheets/d/1XWAQStnk-4SwqDmLtmXYiTMKHgktTP8We1SCoS47DrQ/edit?usp=sharing"",""จัดที่ดิน!AI42"")"),2374.23)</f>
        <v>2374.23</v>
      </c>
      <c r="K378" s="893">
        <f t="shared" ca="1" si="164"/>
        <v>43.167818181818184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IFERROR(__xludf.DUMMYFUNCTION("IMPORTRANGE(""https://docs.google.com/spreadsheets/d/1QqKyyYR6Q21VydFLVH3TRQUabQu_ym0Zz7PgGX0-kHA/edit?usp=sharing"",""แผน!EU42"")"),1000)</f>
        <v>1000</v>
      </c>
      <c r="J379" s="892">
        <f ca="1">IFERROR(__xludf.DUMMYFUNCTION("IMPORTRANGE(""https://docs.google.com/spreadsheets/d/1XWAQStnk-4SwqDmLtmXYiTMKHgktTP8We1SCoS47DrQ/edit?usp=sharing"",""จัดที่ดิน!AJ42"")"),915)</f>
        <v>915</v>
      </c>
      <c r="K379" s="893">
        <f t="shared" ca="1" si="164"/>
        <v>91.5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IFERROR(__xludf.DUMMYFUNCTION("IMPORTRANGE(""https://docs.google.com/spreadsheets/d/1XWAQStnk-4SwqDmLtmXYiTMKHgktTP8We1SCoS47DrQ/edit?usp=sharing"",""จัดที่ดิน!AK42"")"),9172.64)</f>
        <v>9172.64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IFERROR(__xludf.DUMMYFUNCTION("IMPORTRANGE(""https://docs.google.com/spreadsheets/d/1QqKyyYR6Q21VydFLVH3TRQUabQu_ym0Zz7PgGX0-kHA/edit?usp=sharing"",""แผน!EU42"")"),1000)</f>
        <v>1000</v>
      </c>
      <c r="J381" s="892">
        <f ca="1">IFERROR(__xludf.DUMMYFUNCTION("IMPORTRANGE(""https://docs.google.com/spreadsheets/d/1XWAQStnk-4SwqDmLtmXYiTMKHgktTP8We1SCoS47DrQ/edit?usp=sharing"",""จัดที่ดิน!AL42"")"),624)</f>
        <v>624</v>
      </c>
      <c r="K381" s="893">
        <f t="shared" ca="1" si="164"/>
        <v>62.4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IFERROR(__xludf.DUMMYFUNCTION("IMPORTRANGE(""https://docs.google.com/spreadsheets/d/1XWAQStnk-4SwqDmLtmXYiTMKHgktTP8We1SCoS47DrQ/edit?usp=sharing"",""จัดที่ดิน!AM42"")"),6184.29999999999)</f>
        <v>6184.2999999999902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IFERROR(__xludf.DUMMYFUNCTION("IMPORTRANGE(""https://docs.google.com/spreadsheets/d/1QqKyyYR6Q21VydFLVH3TRQUabQu_ym0Zz7PgGX0-kHA/edit?usp=sharing"",""แผน!EW42"")"),100)</f>
        <v>100</v>
      </c>
      <c r="J385" s="1149">
        <f ca="1">IFERROR(__xludf.DUMMYFUNCTION("IMPORTRANGE(""https://docs.google.com/spreadsheets/d/1XWAQStnk-4SwqDmLtmXYiTMKHgktTP8We1SCoS47DrQ/edit?usp=sharing"",""จัดที่ดิน!AP42"")"),0)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IFERROR(__xludf.DUMMYFUNCTION("IMPORTRANGE(""https://docs.google.com/spreadsheets/d/1MeEWN-I1oV_STSDYn1IFDPWt_1FKiwhDph83XaGc0o0/edit?usp=sharing"",""งบพรบ!FG42"")"),0)</f>
        <v>0</v>
      </c>
      <c r="M394" s="899">
        <f ca="1">IFERROR(__xludf.DUMMYFUNCTION("IMPORTRANGE(""https://docs.google.com/spreadsheets/d/1MeEWN-I1oV_STSDYn1IFDPWt_1FKiwhDph83XaGc0o0/edit?usp=sharing"",""งบพรบ!FL42"")"),0)</f>
        <v>0</v>
      </c>
      <c r="N394" s="899">
        <f ca="1">IFERROR(__xludf.DUMMYFUNCTION("IMPORTRANGE(""https://docs.google.com/spreadsheets/d/1MeEWN-I1oV_STSDYn1IFDPWt_1FKiwhDph83XaGc0o0/edit?usp=sharing"",""งบพรบ!FN42"")"),0)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IFERROR(__xludf.DUMMYFUNCTION("IMPORTRANGE(""https://docs.google.com/spreadsheets/d/1MeEWN-I1oV_STSDYn1IFDPWt_1FKiwhDph83XaGc0o0/edit?usp=sharing"",""งบพรบ!FJ42"")"),0)</f>
        <v>0</v>
      </c>
      <c r="M397" s="899">
        <f ca="1">IFERROR(__xludf.DUMMYFUNCTION("IMPORTRANGE(""https://docs.google.com/spreadsheets/d/1MeEWN-I1oV_STSDYn1IFDPWt_1FKiwhDph83XaGc0o0/edit?usp=sharing"",""งบพรบ!FM42"")"),0)</f>
        <v>0</v>
      </c>
      <c r="N397" s="899">
        <f ca="1">IFERROR(__xludf.DUMMYFUNCTION("IMPORTRANGE(""https://docs.google.com/spreadsheets/d/1MeEWN-I1oV_STSDYn1IFDPWt_1FKiwhDph83XaGc0o0/edit?usp=sharing"",""งบพรบ!FO42"")"),0)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IFERROR(__xludf.DUMMYFUNCTION("IMPORTRANGE(""https://docs.google.com/spreadsheets/d/1MeEWN-I1oV_STSDYn1IFDPWt_1FKiwhDph83XaGc0o0/edit?usp=sharing"",""งบพรบ!FQ42"")"),0)</f>
        <v>0</v>
      </c>
      <c r="M407" s="899">
        <f ca="1">IFERROR(__xludf.DUMMYFUNCTION("IMPORTRANGE(""https://docs.google.com/spreadsheets/d/1MeEWN-I1oV_STSDYn1IFDPWt_1FKiwhDph83XaGc0o0/edit?usp=sharing"",""งบพรบ!FV42"")"),0)</f>
        <v>0</v>
      </c>
      <c r="N407" s="899">
        <f ca="1">IFERROR(__xludf.DUMMYFUNCTION("IMPORTRANGE(""https://docs.google.com/spreadsheets/d/1MeEWN-I1oV_STSDYn1IFDPWt_1FKiwhDph83XaGc0o0/edit?usp=sharing"",""งบพรบ!FX42"")"),0)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IFERROR(__xludf.DUMMYFUNCTION("IMPORTRANGE(""https://docs.google.com/spreadsheets/d/1MeEWN-I1oV_STSDYn1IFDPWt_1FKiwhDph83XaGc0o0/edit?usp=sharing"",""งบพรบ!FT42"")"),0)</f>
        <v>0</v>
      </c>
      <c r="M410" s="899">
        <f ca="1">IFERROR(__xludf.DUMMYFUNCTION("IMPORTRANGE(""https://docs.google.com/spreadsheets/d/1MeEWN-I1oV_STSDYn1IFDPWt_1FKiwhDph83XaGc0o0/edit?usp=sharing"",""งบพรบ!FW42"")"),0)</f>
        <v>0</v>
      </c>
      <c r="N410" s="899">
        <f ca="1">IFERROR(__xludf.DUMMYFUNCTION("IMPORTRANGE(""https://docs.google.com/spreadsheets/d/1MeEWN-I1oV_STSDYn1IFDPWt_1FKiwhDph83XaGc0o0/edit?usp=sharing"",""งบพรบ!FY42"")"),0)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2507047</v>
      </c>
      <c r="M414" s="1293">
        <f t="shared" ca="1" si="181"/>
        <v>2507047</v>
      </c>
      <c r="N414" s="1293">
        <f t="shared" si="181"/>
        <v>1377598.51</v>
      </c>
      <c r="O414" s="1293">
        <f ca="1">IF(L414&gt;0,N414*100/L414,0)</f>
        <v>54.949050017809796</v>
      </c>
      <c r="P414" s="1293">
        <f ca="1">IF(M414&gt;0,N414*100/M414,0)</f>
        <v>54.949050017809796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77840</v>
      </c>
      <c r="O419" s="1004">
        <f t="shared" ref="O419:O424" ca="1" si="185">IF(L419&gt;0,N419*100/L419,0)</f>
        <v>98.957538774472411</v>
      </c>
      <c r="P419" s="1004">
        <f t="shared" ref="P419:P424" ca="1" si="186">IF(M419&gt;0,N419*100/M419,0)</f>
        <v>98.957538774472411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77840</v>
      </c>
      <c r="O421" s="899">
        <f t="shared" ca="1" si="185"/>
        <v>98.957538774472411</v>
      </c>
      <c r="P421" s="899">
        <f t="shared" ca="1" si="186"/>
        <v>98.957538774472411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77840</v>
      </c>
      <c r="O422" s="893">
        <f t="shared" ca="1" si="185"/>
        <v>98.957538774472411</v>
      </c>
      <c r="P422" s="893">
        <f t="shared" ca="1" si="186"/>
        <v>98.957538774472411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IFERROR(__xludf.DUMMYFUNCTION("IMPORTRANGE(""https://docs.google.com/spreadsheets/d/1QqKyyYR6Q21VydFLVH3TRQUabQu_ym0Zz7PgGX0-kHA/edit?usp=sharing"",""แผน!EY42"")"),78660)</f>
        <v>78660</v>
      </c>
      <c r="M424" s="899">
        <f ca="1">L424</f>
        <v>78660</v>
      </c>
      <c r="N424" s="899">
        <f>N425+N426+N427+N428</f>
        <v>77840</v>
      </c>
      <c r="O424" s="899">
        <f t="shared" ca="1" si="185"/>
        <v>98.957538774472411</v>
      </c>
      <c r="P424" s="899">
        <f t="shared" ca="1" si="186"/>
        <v>98.957538774472411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77840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IFERROR(__xludf.DUMMYFUNCTION("IMPORTRANGE(""https://docs.google.com/spreadsheets/d/1QqKyyYR6Q21VydFLVH3TRQUabQu_ym0Zz7PgGX0-kHA/edit?usp=sharing"",""แผน!FB42"")"),0)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IFERROR(__xludf.DUMMYFUNCTION("IMPORTRANGE(""https://docs.google.com/spreadsheets/d/1QqKyyYR6Q21VydFLVH3TRQUabQu_ym0Zz7PgGX0-kHA/edit?usp=sharing"",""แผน!FE42"")"),0)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IFERROR(__xludf.DUMMYFUNCTION("IMPORTRANGE(""https://docs.google.com/spreadsheets/d/1QqKyyYR6Q21VydFLVH3TRQUabQu_ym0Zz7PgGX0-kHA/edit?usp=sharing"",""แผน!FG42"")"),1)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IFERROR(__xludf.DUMMYFUNCTION("IMPORTRANGE(""https://docs.google.com/spreadsheets/d/1QqKyyYR6Q21VydFLVH3TRQUabQu_ym0Zz7PgGX0-kHA/edit?usp=sharing"",""แผน!FH42"")"),0)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100</v>
      </c>
      <c r="J442" s="1322">
        <f t="shared" si="195"/>
        <v>100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400</v>
      </c>
      <c r="J443" s="1306">
        <f t="shared" si="196"/>
        <v>400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688280</v>
      </c>
      <c r="M444" s="1032">
        <f t="shared" ca="1" si="197"/>
        <v>688280</v>
      </c>
      <c r="N444" s="1032">
        <f t="shared" si="197"/>
        <v>610280</v>
      </c>
      <c r="O444" s="1032">
        <f t="shared" ref="O444:O449" ca="1" si="198">IF(L444&gt;0,N444*100/L444,0)</f>
        <v>88.66740280118556</v>
      </c>
      <c r="P444" s="1032">
        <f t="shared" ref="P444:P449" ca="1" si="199">IF(M444&gt;0,N444*100/M444,0)</f>
        <v>88.66740280118556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688280</v>
      </c>
      <c r="M446" s="899">
        <f t="shared" ca="1" si="200"/>
        <v>688280</v>
      </c>
      <c r="N446" s="899">
        <f t="shared" si="200"/>
        <v>610280</v>
      </c>
      <c r="O446" s="899">
        <f t="shared" ca="1" si="198"/>
        <v>88.66740280118556</v>
      </c>
      <c r="P446" s="899">
        <f t="shared" ca="1" si="199"/>
        <v>88.66740280118556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688280</v>
      </c>
      <c r="M447" s="893">
        <f t="shared" ca="1" si="201"/>
        <v>688280</v>
      </c>
      <c r="N447" s="893">
        <f t="shared" si="201"/>
        <v>610280</v>
      </c>
      <c r="O447" s="893">
        <f t="shared" ca="1" si="198"/>
        <v>88.66740280118556</v>
      </c>
      <c r="P447" s="893">
        <f t="shared" ca="1" si="199"/>
        <v>88.66740280118556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IFERROR(__xludf.DUMMYFUNCTION("IMPORTRANGE(""https://docs.google.com/spreadsheets/d/1QqKyyYR6Q21VydFLVH3TRQUabQu_ym0Zz7PgGX0-kHA/edit?usp=sharing"",""แผน!FJ42"")"),688280)</f>
        <v>688280</v>
      </c>
      <c r="M449" s="899">
        <f ca="1">L449</f>
        <v>688280</v>
      </c>
      <c r="N449" s="899">
        <f>N450+N451+N452+N453</f>
        <v>610280</v>
      </c>
      <c r="O449" s="899">
        <f t="shared" ca="1" si="198"/>
        <v>88.66740280118556</v>
      </c>
      <c r="P449" s="899">
        <f t="shared" ca="1" si="199"/>
        <v>88.66740280118556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136677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350000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58603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IFERROR(__xludf.DUMMYFUNCTION("IMPORTRANGE(""https://docs.google.com/spreadsheets/d/1QqKyyYR6Q21VydFLVH3TRQUabQu_ym0Zz7PgGX0-kHA/edit?usp=sharing"",""แผน!FM42"")"),0)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IFERROR(__xludf.DUMMYFUNCTION("IMPORTRANGE(""https://docs.google.com/spreadsheets/d/1QqKyyYR6Q21VydFLVH3TRQUabQu_ym0Zz7PgGX0-kHA/edit?usp=sharing"",""แผน!FN42"")"),100)</f>
        <v>100</v>
      </c>
      <c r="J460" s="1024">
        <v>100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IFERROR(__xludf.DUMMYFUNCTION("IMPORTRANGE(""https://docs.google.com/spreadsheets/d/1QqKyyYR6Q21VydFLVH3TRQUabQu_ym0Zz7PgGX0-kHA/edit?usp=sharing"",""แผน!FO42"")"),400)</f>
        <v>400</v>
      </c>
      <c r="J462" s="1024">
        <v>400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IFERROR(__xludf.DUMMYFUNCTION("IMPORTRANGE(""https://docs.google.com/spreadsheets/d/1QqKyyYR6Q21VydFLVH3TRQUabQu_ym0Zz7PgGX0-kHA/edit?usp=sharing"",""แผน!FO42"")"),400)</f>
        <v>400</v>
      </c>
      <c r="J463" s="1024">
        <v>400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IFERROR(__xludf.DUMMYFUNCTION("IMPORTRANGE(""https://docs.google.com/spreadsheets/d/1QqKyyYR6Q21VydFLVH3TRQUabQu_ym0Zz7PgGX0-kHA/edit?usp=sharing"",""แผน!FN42"")"),100)</f>
        <v>100</v>
      </c>
      <c r="J464" s="1024">
        <v>100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IFERROR(__xludf.DUMMYFUNCTION("IMPORTRANGE(""https://docs.google.com/spreadsheets/d/1QqKyyYR6Q21VydFLVH3TRQUabQu_ym0Zz7PgGX0-kHA/edit?usp=sharing"",""แผน!FX42"")"),61)</f>
        <v>61</v>
      </c>
      <c r="J465" s="1322">
        <f>J485+J489+J492</f>
        <v>61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IFERROR(__xludf.DUMMYFUNCTION("IMPORTRANGE(""https://docs.google.com/spreadsheets/d/1QqKyyYR6Q21VydFLVH3TRQUabQu_ym0Zz7PgGX0-kHA/edit?usp=sharing"",""แผน!FW42"")"),600)</f>
        <v>600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491423</v>
      </c>
      <c r="M467" s="1032">
        <f t="shared" ca="1" si="206"/>
        <v>491423</v>
      </c>
      <c r="N467" s="1032">
        <f t="shared" si="206"/>
        <v>115423</v>
      </c>
      <c r="O467" s="1032">
        <f t="shared" ref="O467:O472" ca="1" si="207">IF(L467&gt;0,N467*100/L467,0)</f>
        <v>23.487504654849285</v>
      </c>
      <c r="P467" s="1032">
        <f t="shared" ref="P467:P472" ca="1" si="208">IF(M467&gt;0,N467*100/M467,0)</f>
        <v>23.487504654849285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491423</v>
      </c>
      <c r="M469" s="899">
        <f t="shared" ca="1" si="209"/>
        <v>491423</v>
      </c>
      <c r="N469" s="899">
        <f t="shared" si="209"/>
        <v>115423</v>
      </c>
      <c r="O469" s="899">
        <f t="shared" ca="1" si="207"/>
        <v>23.487504654849285</v>
      </c>
      <c r="P469" s="899">
        <f t="shared" ca="1" si="208"/>
        <v>23.487504654849285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491423</v>
      </c>
      <c r="M470" s="893">
        <f t="shared" ca="1" si="210"/>
        <v>491423</v>
      </c>
      <c r="N470" s="893">
        <f t="shared" si="210"/>
        <v>115423</v>
      </c>
      <c r="O470" s="893">
        <f t="shared" ca="1" si="207"/>
        <v>23.487504654849285</v>
      </c>
      <c r="P470" s="893">
        <f t="shared" ca="1" si="208"/>
        <v>23.487504654849285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IFERROR(__xludf.DUMMYFUNCTION("IMPORTRANGE(""https://docs.google.com/spreadsheets/d/1QqKyyYR6Q21VydFLVH3TRQUabQu_ym0Zz7PgGX0-kHA/edit?usp=sharing"",""แผน!FS42"")"),491423)</f>
        <v>491423</v>
      </c>
      <c r="M472" s="899">
        <f ca="1">L472</f>
        <v>491423</v>
      </c>
      <c r="N472" s="899">
        <f>N473+N474+N475+N476</f>
        <v>115423</v>
      </c>
      <c r="O472" s="899">
        <f t="shared" ca="1" si="207"/>
        <v>23.487504654849285</v>
      </c>
      <c r="P472" s="899">
        <f t="shared" ca="1" si="208"/>
        <v>23.487504654849285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60723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54700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IFERROR(__xludf.DUMMYFUNCTION("IMPORTRANGE(""https://docs.google.com/spreadsheets/d/1QqKyyYR6Q21VydFLVH3TRQUabQu_ym0Zz7PgGX0-kHA/edit?usp=sharing"",""แผน!FV42"")"),0)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IFERROR(__xludf.DUMMYFUNCTION("IMPORTRANGE(""https://docs.google.com/spreadsheets/d/1QqKyyYR6Q21VydFLVH3TRQUabQu_ym0Zz7PgGX0-kHA/edit?usp=sharing"",""แผน!FY42"")"),540)</f>
        <v>540</v>
      </c>
      <c r="J483" s="1024">
        <v>540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IFERROR(__xludf.DUMMYFUNCTION("IMPORTRANGE(""https://docs.google.com/spreadsheets/d/1QqKyyYR6Q21VydFLVH3TRQUabQu_ym0Zz7PgGX0-kHA/edit?usp=sharing"",""แผน!FZ42"")"),54)</f>
        <v>54</v>
      </c>
      <c r="J485" s="1024">
        <v>54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IFERROR(__xludf.DUMMYFUNCTION("IMPORTRANGE(""https://docs.google.com/spreadsheets/d/1QqKyyYR6Q21VydFLVH3TRQUabQu_ym0Zz7PgGX0-kHA/edit?usp=sharing"",""แผน!GA42"")"),60)</f>
        <v>60</v>
      </c>
      <c r="J487" s="1024">
        <v>60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IFERROR(__xludf.DUMMYFUNCTION("IMPORTRANGE(""https://docs.google.com/spreadsheets/d/1QqKyyYR6Q21VydFLVH3TRQUabQu_ym0Zz7PgGX0-kHA/edit?usp=sharing"",""แผน!GB42"")"),6)</f>
        <v>6</v>
      </c>
      <c r="J489" s="1024">
        <v>6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IFERROR(__xludf.DUMMYFUNCTION("IMPORTRANGE(""https://docs.google.com/spreadsheets/d/1QqKyyYR6Q21VydFLVH3TRQUabQu_ym0Zz7PgGX0-kHA/edit?usp=sharing"",""แผน!GC42"")"),1)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IFERROR(__xludf.DUMMYFUNCTION("IMPORTRANGE(""https://docs.google.com/spreadsheets/d/1QqKyyYR6Q21VydFLVH3TRQUabQu_ym0Zz7PgGX0-kHA/edit?usp=sharing"",""แผน!FY42"")"),540)</f>
        <v>540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IFERROR(__xludf.DUMMYFUNCTION("IMPORTRANGE(""https://docs.google.com/spreadsheets/d/1QqKyyYR6Q21VydFLVH3TRQUabQu_ym0Zz7PgGX0-kHA/edit?usp=sharing"",""แผน!GA42"")"),60)</f>
        <v>60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IFERROR(__xludf.DUMMYFUNCTION("IMPORTRANGE(""https://docs.google.com/spreadsheets/d/1QqKyyYR6Q21VydFLVH3TRQUabQu_ym0Zz7PgGX0-kHA/edit?usp=sharing"",""แผน!GQ42"")"),0)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IFERROR(__xludf.DUMMYFUNCTION("IMPORTRANGE(""https://docs.google.com/spreadsheets/d/1QqKyyYR6Q21VydFLVH3TRQUabQu_ym0Zz7PgGX0-kHA/edit?usp=sharing"",""แผน!GT42"")"),0)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IFERROR(__xludf.DUMMYFUNCTION("IMPORTRANGE(""https://docs.google.com/spreadsheets/d/1QqKyyYR6Q21VydFLVH3TRQUabQu_ym0Zz7PgGX0-kHA/edit?usp=sharing"",""แผน!GU42"")"),0)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IFERROR(__xludf.DUMMYFUNCTION("IMPORTRANGE(""https://docs.google.com/spreadsheets/d/1QqKyyYR6Q21VydFLVH3TRQUabQu_ym0Zz7PgGX0-kHA/edit?usp=sharing"",""แผน!GV42"")"),0)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IFERROR(__xludf.DUMMYFUNCTION("IMPORTRANGE(""https://docs.google.com/spreadsheets/d/1QqKyyYR6Q21VydFLVH3TRQUabQu_ym0Zz7PgGX0-kHA/edit?usp=sharing"",""แผน!GW42"")"),0)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IFERROR(__xludf.DUMMYFUNCTION("IMPORTRANGE(""https://docs.google.com/spreadsheets/d/1QqKyyYR6Q21VydFLVH3TRQUabQu_ym0Zz7PgGX0-kHA/edit?usp=sharing"",""แผน!GX42"")"),0)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IFERROR(__xludf.DUMMYFUNCTION("IMPORTRANGE(""https://docs.google.com/spreadsheets/d/1QqKyyYR6Q21VydFLVH3TRQUabQu_ym0Zz7PgGX0-kHA/edit?usp=sharing"",""แผน!GY42"")"),0)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IFERROR(__xludf.DUMMYFUNCTION("IMPORTRANGE(""https://docs.google.com/spreadsheets/d/1QqKyyYR6Q21VydFLVH3TRQUabQu_ym0Zz7PgGX0-kHA/edit?usp=sharing"",""แผน!GZ42"")"),0)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63455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525419</v>
      </c>
      <c r="M544" s="1004">
        <f t="shared" ca="1" si="236"/>
        <v>525419</v>
      </c>
      <c r="N544" s="1004">
        <f t="shared" si="236"/>
        <v>269971.84999999998</v>
      </c>
      <c r="O544" s="1004">
        <f t="shared" ref="O544:O549" ca="1" si="237">IF(L544&gt;0,N544*100/L544,0)</f>
        <v>51.382201633363081</v>
      </c>
      <c r="P544" s="1004">
        <f t="shared" ref="P544:P549" ca="1" si="238">IF(M544&gt;0,N544*100/M544,0)</f>
        <v>51.382201633363081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525419</v>
      </c>
      <c r="M546" s="899">
        <f t="shared" ca="1" si="240"/>
        <v>525419</v>
      </c>
      <c r="N546" s="899">
        <f t="shared" si="240"/>
        <v>269971.84999999998</v>
      </c>
      <c r="O546" s="899">
        <f t="shared" ca="1" si="237"/>
        <v>51.382201633363081</v>
      </c>
      <c r="P546" s="899">
        <f t="shared" ca="1" si="238"/>
        <v>51.382201633363081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525419</v>
      </c>
      <c r="M547" s="893">
        <f t="shared" ca="1" si="241"/>
        <v>525419</v>
      </c>
      <c r="N547" s="893">
        <f t="shared" si="241"/>
        <v>269971.84999999998</v>
      </c>
      <c r="O547" s="893">
        <f t="shared" ca="1" si="237"/>
        <v>51.382201633363081</v>
      </c>
      <c r="P547" s="893">
        <f t="shared" ca="1" si="238"/>
        <v>51.382201633363081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IFERROR(__xludf.DUMMYFUNCTION("IMPORTRANGE(""https://docs.google.com/spreadsheets/d/1QqKyyYR6Q21VydFLVH3TRQUabQu_ym0Zz7PgGX0-kHA/edit?usp=sharing"",""แผน!HB42"")"),525419)</f>
        <v>525419</v>
      </c>
      <c r="M549" s="899">
        <f ca="1">L549</f>
        <v>525419</v>
      </c>
      <c r="N549" s="899">
        <f>N550+N551+N552+N553+N554</f>
        <v>269971.84999999998</v>
      </c>
      <c r="O549" s="899">
        <f t="shared" ca="1" si="237"/>
        <v>51.382201633363081</v>
      </c>
      <c r="P549" s="899">
        <f t="shared" ca="1" si="238"/>
        <v>51.382201633363081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64579.85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205392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IFERROR(__xludf.DUMMYFUNCTION("IMPORTRANGE(""https://docs.google.com/spreadsheets/d/1QqKyyYR6Q21VydFLVH3TRQUabQu_ym0Zz7PgGX0-kHA/edit?usp=sharing"",""แผน!HF42"")"),0)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63455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IFERROR(__xludf.DUMMYFUNCTION("IMPORTRANGE(""https://docs.google.com/spreadsheets/d/1QqKyyYR6Q21VydFLVH3TRQUabQu_ym0Zz7PgGX0-kHA/edit?usp=sharing"",""แผน!HH42"")"),63455)</f>
        <v>63455</v>
      </c>
      <c r="J560" s="1030">
        <f t="shared" ref="J560:J561" si="247">J562+J564+J566</f>
        <v>63455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IFERROR(__xludf.DUMMYFUNCTION("IMPORTRANGE(""https://docs.google.com/spreadsheets/d/1QqKyyYR6Q21VydFLVH3TRQUabQu_ym0Zz7PgGX0-kHA/edit?usp=sharing"",""แผน!HG42"")"),7501)</f>
        <v>7501</v>
      </c>
      <c r="J561" s="1030">
        <f t="shared" si="247"/>
        <v>7501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52695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6380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8669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886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2091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235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IFERROR(__xludf.DUMMYFUNCTION("IMPORTRANGE(""https://docs.google.com/spreadsheets/d/1QqKyyYR6Q21VydFLVH3TRQUabQu_ym0Zz7PgGX0-kHA/edit?usp=sharing"",""แผน!HH42"")"),63455)</f>
        <v>63455</v>
      </c>
      <c r="J568" s="1031">
        <f t="shared" ref="J568:J569" si="248">J570+J572+J574</f>
        <v>63455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IFERROR(__xludf.DUMMYFUNCTION("IMPORTRANGE(""https://docs.google.com/spreadsheets/d/1QqKyyYR6Q21VydFLVH3TRQUabQu_ym0Zz7PgGX0-kHA/edit?usp=sharing"",""แผน!HG42"")"),7501)</f>
        <v>7501</v>
      </c>
      <c r="J569" s="1031">
        <f t="shared" si="248"/>
        <v>7501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52990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6418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8286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843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2179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240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IFERROR(__xludf.DUMMYFUNCTION("IMPORTRANGE(""https://docs.google.com/spreadsheets/d/1QqKyyYR6Q21VydFLVH3TRQUabQu_ym0Zz7PgGX0-kHA/edit?usp=sharing"",""แผน!HH42"")"),63455)</f>
        <v>63455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IFERROR(__xludf.DUMMYFUNCTION("IMPORTRANGE(""https://docs.google.com/spreadsheets/d/1QqKyyYR6Q21VydFLVH3TRQUabQu_ym0Zz7PgGX0-kHA/edit?usp=sharing"",""แผน!HG42"")"),7501)</f>
        <v>7501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6025.25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IFERROR(__xludf.DUMMYFUNCTION("IMPORTRANGE(""https://docs.google.com/spreadsheets/d/1QqKyyYR6Q21VydFLVH3TRQUabQu_ym0Zz7PgGX0-kHA/edit?usp=sharing"",""แผน!HJ42"")"),6025.25)</f>
        <v>6025.25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IFERROR(__xludf.DUMMYFUNCTION("IMPORTRANGE(""https://docs.google.com/spreadsheets/d/1QqKyyYR6Q21VydFLVH3TRQUabQu_ym0Zz7PgGX0-kHA/edit?usp=sharing"",""แผน!HI42"")"),553)</f>
        <v>553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IFERROR(__xludf.DUMMYFUNCTION("IMPORTRANGE(""https://docs.google.com/spreadsheets/d/1QqKyyYR6Q21VydFLVH3TRQUabQu_ym0Zz7PgGX0-kHA/edit?usp=sharing"",""แผน!HL42"")"),144)</f>
        <v>144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IFERROR(__xludf.DUMMYFUNCTION("IMPORTRANGE(""https://docs.google.com/spreadsheets/d/1QqKyyYR6Q21VydFLVH3TRQUabQu_ym0Zz7PgGX0-kHA/edit?usp=sharing"",""แผน!HK42"")"),9)</f>
        <v>9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210</v>
      </c>
      <c r="J628" s="1438">
        <f t="shared" ca="1" si="262"/>
        <v>139</v>
      </c>
      <c r="K628" s="1439">
        <f ca="1">IF(I628&gt;0,J628*100/I628,0)</f>
        <v>66.19047619047619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442125</v>
      </c>
      <c r="M629" s="1032">
        <f t="shared" ca="1" si="263"/>
        <v>442125</v>
      </c>
      <c r="N629" s="1032">
        <f t="shared" si="263"/>
        <v>133620</v>
      </c>
      <c r="O629" s="1032">
        <f t="shared" ref="O629:O634" ca="1" si="264">IF(L629&gt;0,N629*100/L629,0)</f>
        <v>30.222222222222221</v>
      </c>
      <c r="P629" s="1032">
        <f t="shared" ref="P629:P634" ca="1" si="265">IF(M629&gt;0,N629*100/M629,0)</f>
        <v>30.222222222222221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442125</v>
      </c>
      <c r="M631" s="899">
        <f t="shared" ca="1" si="266"/>
        <v>442125</v>
      </c>
      <c r="N631" s="899">
        <f t="shared" si="266"/>
        <v>133620</v>
      </c>
      <c r="O631" s="899">
        <f t="shared" ca="1" si="264"/>
        <v>30.222222222222221</v>
      </c>
      <c r="P631" s="899">
        <f t="shared" ca="1" si="265"/>
        <v>30.222222222222221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442125</v>
      </c>
      <c r="M632" s="893">
        <f t="shared" ca="1" si="267"/>
        <v>442125</v>
      </c>
      <c r="N632" s="893">
        <f t="shared" si="267"/>
        <v>133620</v>
      </c>
      <c r="O632" s="893">
        <f t="shared" ca="1" si="264"/>
        <v>30.222222222222221</v>
      </c>
      <c r="P632" s="893">
        <f t="shared" ca="1" si="265"/>
        <v>30.222222222222221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IFERROR(__xludf.DUMMYFUNCTION("IMPORTRANGE(""https://docs.google.com/spreadsheets/d/1QqKyyYR6Q21VydFLVH3TRQUabQu_ym0Zz7PgGX0-kHA/edit?usp=sharing"",""แผน!HN42"")"),442125)</f>
        <v>442125</v>
      </c>
      <c r="M634" s="899">
        <f ca="1">L634</f>
        <v>442125</v>
      </c>
      <c r="N634" s="899">
        <f>N635+N636+N637+N638</f>
        <v>133620</v>
      </c>
      <c r="O634" s="899">
        <f t="shared" ca="1" si="264"/>
        <v>30.222222222222221</v>
      </c>
      <c r="P634" s="899">
        <f t="shared" ca="1" si="265"/>
        <v>30.222222222222221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65000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68620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IFERROR(__xludf.DUMMYFUNCTION("IMPORTRANGE(""https://docs.google.com/spreadsheets/d/1QqKyyYR6Q21VydFLVH3TRQUabQu_ym0Zz7PgGX0-kHA/edit?usp=sharing"",""แผน!HQ42"")"),0)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IFERROR(__xludf.DUMMYFUNCTION("IMPORTRANGE(""https://docs.google.com/spreadsheets/d/1QqKyyYR6Q21VydFLVH3TRQUabQu_ym0Zz7PgGX0-kHA/edit?usp=sharing"",""แผน!HR42"")"),0)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IFERROR(__xludf.DUMMYFUNCTION("IMPORTRANGE(""https://docs.google.com/spreadsheets/d/1QqKyyYR6Q21VydFLVH3TRQUabQu_ym0Zz7PgGX0-kHA/edit?usp=sharing"",""แผน!HR42"")"),0)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IFERROR(__xludf.DUMMYFUNCTION("IMPORTRANGE(""https://docs.google.com/spreadsheets/d/1XWAQStnk-4SwqDmLtmXYiTMKHgktTP8We1SCoS47DrQ/edit?usp=sharing"",""จัดที่ดิน!AS42"")"),66)</f>
        <v>66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IFERROR(__xludf.DUMMYFUNCTION("IMPORTRANGE(""https://docs.google.com/spreadsheets/d/1XWAQStnk-4SwqDmLtmXYiTMKHgktTP8We1SCoS47DrQ/edit?usp=sharing"",""จัดที่ดิน!AT42"")"),35.58)</f>
        <v>35.58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IFERROR(__xludf.DUMMYFUNCTION("IMPORTRANGE(""https://docs.google.com/spreadsheets/d/1QqKyyYR6Q21VydFLVH3TRQUabQu_ym0Zz7PgGX0-kHA/edit?usp=sharing"",""แผน!HS42"")"),210)</f>
        <v>210</v>
      </c>
      <c r="J647" s="892">
        <f ca="1">IFERROR(__xludf.DUMMYFUNCTION("IMPORTRANGE(""https://docs.google.com/spreadsheets/d/1XWAQStnk-4SwqDmLtmXYiTMKHgktTP8We1SCoS47DrQ/edit?usp=sharing"",""จัดที่ดิน!AU42"")"),140)</f>
        <v>140</v>
      </c>
      <c r="K647" s="1010">
        <f t="shared" ca="1" si="271"/>
        <v>66.666666666666671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IFERROR(__xludf.DUMMYFUNCTION("IMPORTRANGE(""https://docs.google.com/spreadsheets/d/1XWAQStnk-4SwqDmLtmXYiTMKHgktTP8We1SCoS47DrQ/edit?usp=sharing"",""จัดที่ดิน!AV42"")"),68.47)</f>
        <v>68.47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IFERROR(__xludf.DUMMYFUNCTION("IMPORTRANGE(""https://docs.google.com/spreadsheets/d/1QqKyyYR6Q21VydFLVH3TRQUabQu_ym0Zz7PgGX0-kHA/edit?usp=sharing"",""แผน!HS42"")"),210)</f>
        <v>210</v>
      </c>
      <c r="J649" s="892">
        <f ca="1">IFERROR(__xludf.DUMMYFUNCTION("IMPORTRANGE(""https://docs.google.com/spreadsheets/d/1XWAQStnk-4SwqDmLtmXYiTMKHgktTP8We1SCoS47DrQ/edit?usp=sharing"",""จัดที่ดิน!AW42"")"),139)</f>
        <v>139</v>
      </c>
      <c r="K649" s="1010">
        <f t="shared" ca="1" si="271"/>
        <v>66.19047619047619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IFERROR(__xludf.DUMMYFUNCTION("IMPORTRANGE(""https://docs.google.com/spreadsheets/d/1XWAQStnk-4SwqDmLtmXYiTMKHgktTP8We1SCoS47DrQ/edit?usp=sharing"",""จัดที่ดิน!AX42"")"),67.28)</f>
        <v>67.28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IFERROR(__xludf.DUMMYFUNCTION("IMPORTRANGE(""https://docs.google.com/spreadsheets/d/1QqKyyYR6Q21VydFLVH3TRQUabQu_ym0Zz7PgGX0-kHA/edit?usp=sharing"",""แผน!HS42"")"),210)</f>
        <v>210</v>
      </c>
      <c r="J651" s="892">
        <f ca="1">IFERROR(__xludf.DUMMYFUNCTION("IMPORTRANGE(""https://docs.google.com/spreadsheets/d/1XWAQStnk-4SwqDmLtmXYiTMKHgktTP8We1SCoS47DrQ/edit?usp=sharing"",""จัดที่ดิน!AY42"")"),139)</f>
        <v>139</v>
      </c>
      <c r="K651" s="1010">
        <f t="shared" ca="1" si="271"/>
        <v>66.19047619047619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IFERROR(__xludf.DUMMYFUNCTION("IMPORTRANGE(""https://docs.google.com/spreadsheets/d/1XWAQStnk-4SwqDmLtmXYiTMKHgktTP8We1SCoS47DrQ/edit?usp=sharing"",""จัดที่ดิน!AZ42"")"),67.28)</f>
        <v>67.28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50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12600</v>
      </c>
      <c r="M655" s="1032">
        <f t="shared" ca="1" si="273"/>
        <v>12600</v>
      </c>
      <c r="N655" s="1032">
        <f t="shared" si="273"/>
        <v>12600</v>
      </c>
      <c r="O655" s="1032">
        <f t="shared" ref="O655:O660" ca="1" si="274">IF(L655&gt;0,N655*100/L655,0)</f>
        <v>100</v>
      </c>
      <c r="P655" s="1032">
        <f t="shared" ref="P655:P660" ca="1" si="275">IF(M655&gt;0,N655*100/M655,0)</f>
        <v>100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12600</v>
      </c>
      <c r="M657" s="899">
        <f t="shared" ca="1" si="276"/>
        <v>12600</v>
      </c>
      <c r="N657" s="899">
        <f t="shared" si="276"/>
        <v>12600</v>
      </c>
      <c r="O657" s="899">
        <f t="shared" ca="1" si="274"/>
        <v>100</v>
      </c>
      <c r="P657" s="899">
        <f t="shared" ca="1" si="275"/>
        <v>100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12600</v>
      </c>
      <c r="M658" s="893">
        <f t="shared" ca="1" si="277"/>
        <v>12600</v>
      </c>
      <c r="N658" s="893">
        <f t="shared" si="277"/>
        <v>12600</v>
      </c>
      <c r="O658" s="893">
        <f t="shared" ca="1" si="274"/>
        <v>100</v>
      </c>
      <c r="P658" s="893">
        <f t="shared" ca="1" si="275"/>
        <v>100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IFERROR(__xludf.DUMMYFUNCTION("IMPORTRANGE(""https://docs.google.com/spreadsheets/d/1QqKyyYR6Q21VydFLVH3TRQUabQu_ym0Zz7PgGX0-kHA/edit?usp=sharing"",""แผน!HV42"")"),12600)</f>
        <v>12600</v>
      </c>
      <c r="M660" s="899">
        <f ca="1">L660</f>
        <v>12600</v>
      </c>
      <c r="N660" s="899">
        <f>N661+N662+N663+N664</f>
        <v>12600</v>
      </c>
      <c r="O660" s="899">
        <f t="shared" ca="1" si="274"/>
        <v>100</v>
      </c>
      <c r="P660" s="899">
        <f t="shared" ca="1" si="275"/>
        <v>100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12600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IFERROR(__xludf.DUMMYFUNCTION("IMPORTRANGE(""https://docs.google.com/spreadsheets/d/1QqKyyYR6Q21VydFLVH3TRQUabQu_ym0Zz7PgGX0-kHA/edit?usp=sharing"",""แผน!IA42"")"),50)</f>
        <v>50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IFERROR(__xludf.DUMMYFUNCTION("IMPORTRANGE(""https://docs.google.com/spreadsheets/d/1QqKyyYR6Q21VydFLVH3TRQUabQu_ym0Zz7PgGX0-kHA/edit?usp=sharing"",""แผน!HZ42"")"),6)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IFERROR(__xludf.DUMMYFUNCTION("IMPORTRANGE(""https://docs.google.com/spreadsheets/d/1QqKyyYR6Q21VydFLVH3TRQUabQu_ym0Zz7PgGX0-kHA/edit?usp=sharing"",""แผน!HZ42"")"),6)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107</v>
      </c>
      <c r="K672" s="893">
        <f t="shared" ref="K672:K675" ca="1" si="281">IF(I$669&gt;0,J672*100/I$669,0)</f>
        <v>214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107</v>
      </c>
      <c r="K673" s="893">
        <f t="shared" ca="1" si="281"/>
        <v>214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107</v>
      </c>
      <c r="K674" s="893">
        <f t="shared" ca="1" si="281"/>
        <v>214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IFERROR(__xludf.DUMMYFUNCTION("IMPORTRANGE(""https://docs.google.com/spreadsheets/d/1QqKyyYR6Q21VydFLVH3TRQUabQu_ym0Zz7PgGX0-kHA/edit?usp=sharing"",""แผน!IB42"")"),0)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1980</v>
      </c>
      <c r="M685" s="1032">
        <f t="shared" ca="1" si="282"/>
        <v>1980</v>
      </c>
      <c r="N685" s="1032">
        <f t="shared" si="282"/>
        <v>360</v>
      </c>
      <c r="O685" s="1032">
        <f t="shared" ref="O685:O688" ca="1" si="283">IF(L685&gt;0,N685*100/L685,0)</f>
        <v>18.181818181818183</v>
      </c>
      <c r="P685" s="1032">
        <f t="shared" ref="P685:P688" ca="1" si="284">IF(M685&gt;0,N685*100/M685,0)</f>
        <v>18.181818181818183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1980</v>
      </c>
      <c r="M687" s="899">
        <f t="shared" ca="1" si="285"/>
        <v>1980</v>
      </c>
      <c r="N687" s="899">
        <f t="shared" si="285"/>
        <v>360</v>
      </c>
      <c r="O687" s="899">
        <f t="shared" ca="1" si="283"/>
        <v>18.181818181818183</v>
      </c>
      <c r="P687" s="899">
        <f t="shared" ca="1" si="284"/>
        <v>18.181818181818183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1980</v>
      </c>
      <c r="M688" s="893">
        <f t="shared" ca="1" si="286"/>
        <v>1980</v>
      </c>
      <c r="N688" s="893">
        <f t="shared" si="286"/>
        <v>360</v>
      </c>
      <c r="O688" s="893">
        <f t="shared" ca="1" si="283"/>
        <v>18.181818181818183</v>
      </c>
      <c r="P688" s="893">
        <f t="shared" ca="1" si="284"/>
        <v>18.181818181818183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IFERROR(__xludf.DUMMYFUNCTION("IMPORTRANGE(""https://docs.google.com/spreadsheets/d/1QqKyyYR6Q21VydFLVH3TRQUabQu_ym0Zz7PgGX0-kHA/edit?usp=sharing"",""แผน!HW42"")"),1980)</f>
        <v>1980</v>
      </c>
      <c r="M690" s="899">
        <f ca="1">L690</f>
        <v>1980</v>
      </c>
      <c r="N690" s="899">
        <f>N691+N692+N693+N694</f>
        <v>360</v>
      </c>
      <c r="O690" s="899">
        <f ca="1">IF(L690&gt;0,N690*100/L690,0)</f>
        <v>18.181818181818183</v>
      </c>
      <c r="P690" s="899">
        <f ca="1">IF(M690&gt;0,N690*100/M690,0)</f>
        <v>18.181818181818183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360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IFERROR(__xludf.DUMMYFUNCTION("IMPORTRANGE(""https://docs.google.com/spreadsheets/d/1QqKyyYR6Q21VydFLVH3TRQUabQu_ym0Zz7PgGX0-kHA/edit?usp=sharing"",""แผน!IC42"")"),0)</f>
        <v>0</v>
      </c>
      <c r="J699" s="892">
        <f ca="1">IFERROR(__xludf.DUMMYFUNCTION("IMPORTRANGE(""https://docs.google.com/spreadsheets/d/1XWAQStnk-4SwqDmLtmXYiTMKHgktTP8We1SCoS47DrQ/edit?usp=sharing"",""จัดที่ดิน!BB42"")"),0)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IFERROR(__xludf.DUMMYFUNCTION("IMPORTRANGE(""https://docs.google.com/spreadsheets/d/1QqKyyYR6Q21VydFLVH3TRQUabQu_ym0Zz7PgGX0-kHA/edit?usp=sharing"",""แผน!ID42"")"),0)</f>
        <v>0</v>
      </c>
      <c r="J700" s="892">
        <f ca="1">IFERROR(__xludf.DUMMYFUNCTION("IMPORTRANGE(""https://docs.google.com/spreadsheets/d/1XWAQStnk-4SwqDmLtmXYiTMKHgktTP8We1SCoS47DrQ/edit?usp=sharing"",""จัดที่ดิน!BD42"")"),0)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IFERROR(__xludf.DUMMYFUNCTION("IMPORTRANGE(""https://docs.google.com/spreadsheets/d/1QqKyyYR6Q21VydFLVH3TRQUabQu_ym0Zz7PgGX0-kHA/edit?usp=sharing"",""แผน!IE42"")"),14)</f>
        <v>14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IFERROR(__xludf.DUMMYFUNCTION("IMPORTRANGE(""https://docs.google.com/spreadsheets/d/1QqKyyYR6Q21VydFLVH3TRQUabQu_ym0Zz7PgGX0-kHA/edit?usp=sharing"",""แผน!IF42"")"),14)</f>
        <v>14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IFERROR(__xludf.DUMMYFUNCTION("IMPORTRANGE(""https://docs.google.com/spreadsheets/d/1QqKyyYR6Q21VydFLVH3TRQUabQu_ym0Zz7PgGX0-kHA/edit?usp=sharing"",""แผน!IG42"")"),0)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IFERROR(__xludf.DUMMYFUNCTION("IMPORTRANGE(""https://docs.google.com/spreadsheets/d/1QqKyyYR6Q21VydFLVH3TRQUabQu_ym0Zz7PgGX0-kHA/edit?usp=sharing"",""แผน!IH42"")"),14)</f>
        <v>14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1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14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IFERROR(__xludf.DUMMYFUNCTION("IMPORTRANGE(""https://docs.google.com/spreadsheets/d/1XWAQStnk-4SwqDmLtmXYiTMKHgktTP8We1SCoS47DrQ/edit?usp=sharing"",""จัดที่ดิน!BF42"")"),0)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IFERROR(__xludf.DUMMYFUNCTION("IMPORTRANGE(""https://docs.google.com/spreadsheets/d/1XWAQStnk-4SwqDmLtmXYiTMKHgktTP8We1SCoS47DrQ/edit?usp=sharing"",""จัดที่ดิน!BG42"")"),0)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IFERROR(__xludf.DUMMYFUNCTION("IMPORTRANGE(""https://docs.google.com/spreadsheets/d/1QqKyyYR6Q21VydFLVH3TRQUabQu_ym0Zz7PgGX0-kHA/edit?usp=sharing"",""แผน!II42"")"),14)</f>
        <v>14</v>
      </c>
      <c r="J720" s="892">
        <f ca="1">IFERROR(__xludf.DUMMYFUNCTION("IMPORTRANGE(""https://docs.google.com/spreadsheets/d/1XWAQStnk-4SwqDmLtmXYiTMKHgktTP8We1SCoS47DrQ/edit?usp=sharing"",""จัดที่ดิน!BH42"")"),0)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IFERROR(__xludf.DUMMYFUNCTION("IMPORTRANGE(""https://docs.google.com/spreadsheets/d/1QqKyyYR6Q21VydFLVH3TRQUabQu_ym0Zz7PgGX0-kHA/edit?usp=sharing"",""แผน!IJ42"")"),0)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IFERROR(__xludf.DUMMYFUNCTION("IMPORTRANGE(""https://docs.google.com/spreadsheets/d/1QqKyyYR6Q21VydFLVH3TRQUabQu_ym0Zz7PgGX0-kHA/edit?usp=sharing"",""แผน!IK42"")"),0)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IFERROR(__xludf.DUMMYFUNCTION("IMPORTRANGE(""https://docs.google.com/spreadsheets/d/1QqKyyYR6Q21VydFLVH3TRQUabQu_ym0Zz7PgGX0-kHA/edit?usp=sharing"",""แผน!IL42"")"),0)</f>
        <v>0</v>
      </c>
      <c r="J723" s="892">
        <f ca="1">IFERROR(__xludf.DUMMYFUNCTION("IMPORTRANGE(""https://docs.google.com/spreadsheets/d/1XWAQStnk-4SwqDmLtmXYiTMKHgktTP8We1SCoS47DrQ/edit?usp=sharing"",""จัดที่ดิน!BM42"")"),0)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IFERROR(__xludf.DUMMYFUNCTION("IMPORTRANGE(""https://docs.google.com/spreadsheets/d/1XWAQStnk-4SwqDmLtmXYiTMKHgktTP8We1SCoS47DrQ/edit?usp=sharing"",""จัดที่ดิน!BN42"")"),0)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IFERROR(__xludf.DUMMYFUNCTION("IMPORTRANGE(""https://docs.google.com/spreadsheets/d/1QqKyyYR6Q21VydFLVH3TRQUabQu_ym0Zz7PgGX0-kHA/edit?usp=sharing"",""แผน!IM42"")"),0)</f>
        <v>0</v>
      </c>
      <c r="J725" s="892">
        <f ca="1">IFERROR(__xludf.DUMMYFUNCTION("IMPORTRANGE(""https://docs.google.com/spreadsheets/d/1XWAQStnk-4SwqDmLtmXYiTMKHgktTP8We1SCoS47DrQ/edit?usp=sharing"",""จัดที่ดิน!BO42"")"),0)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IFERROR(__xludf.DUMMYFUNCTION("IMPORTRANGE(""https://docs.google.com/spreadsheets/d/1QqKyyYR6Q21VydFLVH3TRQUabQu_ym0Zz7PgGX0-kHA/edit?usp=sharing"",""แผน!IN42"")"),0)</f>
        <v>0</v>
      </c>
      <c r="J726" s="892">
        <f ca="1">IFERROR(__xludf.DUMMYFUNCTION("IMPORTRANGE(""https://docs.google.com/spreadsheets/d/1XWAQStnk-4SwqDmLtmXYiTMKHgktTP8We1SCoS47DrQ/edit?usp=sharing"",""จัดที่ดิน!BR42"")"),0)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IFERROR(__xludf.DUMMYFUNCTION("IMPORTRANGE(""https://docs.google.com/spreadsheets/d/1XWAQStnk-4SwqDmLtmXYiTMKHgktTP8We1SCoS47DrQ/edit?usp=sharing"",""จัดที่ดิน!BS42"")"),0)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IFERROR(__xludf.DUMMYFUNCTION("IMPORTRANGE(""https://docs.google.com/spreadsheets/d/1QqKyyYR6Q21VydFLVH3TRQUabQu_ym0Zz7PgGX0-kHA/edit?usp=sharing"",""แผน!IO42"")"),0)</f>
        <v>0</v>
      </c>
      <c r="J728" s="892">
        <f ca="1">IFERROR(__xludf.DUMMYFUNCTION("IMPORTRANGE(""https://docs.google.com/spreadsheets/d/1XWAQStnk-4SwqDmLtmXYiTMKHgktTP8We1SCoS47DrQ/edit?usp=sharing"",""จัดที่ดิน!BT42"")"),0)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IFERROR(__xludf.DUMMYFUNCTION("IMPORTRANGE(""https://docs.google.com/spreadsheets/d/1QqKyyYR6Q21VydFLVH3TRQUabQu_ym0Zz7PgGX0-kHA/edit?usp=sharing"",""แผน!IP42"")"),0)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19000</v>
      </c>
      <c r="J785" s="804">
        <f t="shared" ca="1" si="318"/>
        <v>15893</v>
      </c>
      <c r="K785" s="805">
        <f ca="1">IF(I785&gt;0,J785*100/I785,0)</f>
        <v>83.647368421052633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266560</v>
      </c>
      <c r="M786" s="1032">
        <f t="shared" ca="1" si="319"/>
        <v>266560</v>
      </c>
      <c r="N786" s="1032">
        <f t="shared" si="319"/>
        <v>157503.66</v>
      </c>
      <c r="O786" s="1032">
        <f t="shared" ref="O786:O791" ca="1" si="320">IF(L786&gt;0,N786*100/L786,0)</f>
        <v>59.087507503001198</v>
      </c>
      <c r="P786" s="1032">
        <f t="shared" ref="P786:P791" ca="1" si="321">IF(M786&gt;0,N786*100/M786,0)</f>
        <v>59.087507503001198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266560</v>
      </c>
      <c r="M788" s="899">
        <f t="shared" ca="1" si="322"/>
        <v>266560</v>
      </c>
      <c r="N788" s="899">
        <f t="shared" si="322"/>
        <v>157503.66</v>
      </c>
      <c r="O788" s="899">
        <f t="shared" ca="1" si="320"/>
        <v>59.087507503001198</v>
      </c>
      <c r="P788" s="899">
        <f t="shared" ca="1" si="321"/>
        <v>59.087507503001198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266560</v>
      </c>
      <c r="M789" s="893">
        <f t="shared" ca="1" si="323"/>
        <v>266560</v>
      </c>
      <c r="N789" s="893">
        <f t="shared" si="323"/>
        <v>157503.66</v>
      </c>
      <c r="O789" s="893">
        <f t="shared" ca="1" si="320"/>
        <v>59.087507503001198</v>
      </c>
      <c r="P789" s="893">
        <f t="shared" ca="1" si="321"/>
        <v>59.087507503001198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IFERROR(__xludf.DUMMYFUNCTION("IMPORTRANGE(""https://docs.google.com/spreadsheets/d/1QqKyyYR6Q21VydFLVH3TRQUabQu_ym0Zz7PgGX0-kHA/edit?usp=sharing"",""แผน!JJ42"")"),266560)</f>
        <v>266560</v>
      </c>
      <c r="M791" s="899">
        <f ca="1">L791</f>
        <v>266560</v>
      </c>
      <c r="N791" s="899">
        <f>N792+N793+N794+N795</f>
        <v>157503.66</v>
      </c>
      <c r="O791" s="899">
        <f t="shared" ca="1" si="320"/>
        <v>59.087507503001198</v>
      </c>
      <c r="P791" s="899">
        <f t="shared" ca="1" si="321"/>
        <v>59.087507503001198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24300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v>133203.66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IFERROR(__xludf.DUMMYFUNCTION("IMPORTRANGE(""https://docs.google.com/spreadsheets/d/1MaWodYyGHDf7siQLGxnXhG4mBNTNIuy296niS2xXulU/edit?usp=sharing"",""RTK!H42"")"),76)</f>
        <v>76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IFERROR(__xludf.DUMMYFUNCTION("IMPORTRANGE(""https://docs.google.com/spreadsheets/d/1MaWodYyGHDf7siQLGxnXhG4mBNTNIuy296niS2xXulU/edit?usp=sharing"",""RTK!G42"")"),4000)</f>
        <v>4000</v>
      </c>
      <c r="J801" s="819">
        <f ca="1">IFERROR(__xludf.DUMMYFUNCTION("IMPORTRANGE(""https://docs.google.com/spreadsheets/d/1MaWodYyGHDf7siQLGxnXhG4mBNTNIuy296niS2xXulU/edit?usp=sharing"",""RTK!I42"")"),874)</f>
        <v>874</v>
      </c>
      <c r="K801" s="820">
        <f ca="1">IF(I801&gt;0,J801*100/I801,0)</f>
        <v>21.85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IFERROR(__xludf.DUMMYFUNCTION("IMPORTRANGE(""https://docs.google.com/spreadsheets/d/1MaWodYyGHDf7siQLGxnXhG4mBNTNIuy296niS2xXulU/edit?usp=sharing"",""RTK!L42"")"),1213)</f>
        <v>1213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IFERROR(__xludf.DUMMYFUNCTION("IMPORTRANGE(""https://docs.google.com/spreadsheets/d/1MaWodYyGHDf7siQLGxnXhG4mBNTNIuy296niS2xXulU/edit?usp=sharing"",""RTK!K42"")"),15000)</f>
        <v>15000</v>
      </c>
      <c r="J803" s="819">
        <f ca="1">IFERROR(__xludf.DUMMYFUNCTION("IMPORTRANGE(""https://docs.google.com/spreadsheets/d/1MaWodYyGHDf7siQLGxnXhG4mBNTNIuy296niS2xXulU/edit?usp=sharing"",""RTK!M42"")"),15019)</f>
        <v>15019</v>
      </c>
      <c r="K803" s="820">
        <f t="shared" ref="K803:K804" ca="1" si="327">IF(I803&gt;0,J803*100/I803,0)</f>
        <v>100.12666666666667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892">
        <f ca="1">IFERROR(__xludf.DUMMYFUNCTION("IMPORTRANGE(""https://docs.google.com/spreadsheets/d/19vJNZY_5yjcGF2XGBMNZRCAIB0Kwfpjp8YEOfu-bneM/edit?usp=sharing"",""งานกองทุน!F42"")"),2753578.51)</f>
        <v>2753578.51</v>
      </c>
      <c r="K821" s="893">
        <f t="shared" ref="K821:K828" ca="1" si="336">IF(I821&gt;0,J821*100/I821,0)</f>
        <v>52.236827689911294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IFERROR(__xludf.DUMMYFUNCTION("IMPORTRANGE(""https://docs.google.com/spreadsheets/d/19vJNZY_5yjcGF2XGBMNZRCAIB0Kwfpjp8YEOfu-bneM/edit?usp=sharing"",""งานกองทุน!C42"")"),460)</f>
        <v>460</v>
      </c>
      <c r="J822" s="892">
        <f ca="1">IFERROR(__xludf.DUMMYFUNCTION("IMPORTRANGE(""https://docs.google.com/spreadsheets/d/19vJNZY_5yjcGF2XGBMNZRCAIB0Kwfpjp8YEOfu-bneM/edit?usp=sharing"",""งานกองทุน!E42"")"),248)</f>
        <v>248</v>
      </c>
      <c r="K822" s="893">
        <f t="shared" ca="1" si="336"/>
        <v>53.913043478260867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892">
        <f ca="1">IFERROR(__xludf.DUMMYFUNCTION("IMPORTRANGE(""https://docs.google.com/spreadsheets/d/19vJNZY_5yjcGF2XGBMNZRCAIB0Kwfpjp8YEOfu-bneM/edit?usp=sharing"",""งานกองทุน!K42"")"),3471920.74)</f>
        <v>3471920.74</v>
      </c>
      <c r="K823" s="893">
        <f t="shared" ca="1" si="336"/>
        <v>10.606653203942146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IFERROR(__xludf.DUMMYFUNCTION("IMPORTRANGE(""https://docs.google.com/spreadsheets/d/19vJNZY_5yjcGF2XGBMNZRCAIB0Kwfpjp8YEOfu-bneM/edit?usp=sharing"",""งานกองทุน!H42"")"),1616)</f>
        <v>1616</v>
      </c>
      <c r="J824" s="892">
        <f ca="1">IFERROR(__xludf.DUMMYFUNCTION("IMPORTRANGE(""https://docs.google.com/spreadsheets/d/19vJNZY_5yjcGF2XGBMNZRCAIB0Kwfpjp8YEOfu-bneM/edit?usp=sharing"",""งานกองทุน!J42"")"),793)</f>
        <v>793</v>
      </c>
      <c r="K824" s="893">
        <f t="shared" ca="1" si="336"/>
        <v>49.071782178217823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IFERROR(__xludf.DUMMYFUNCTION("IMPORTRANGE(""https://docs.google.com/spreadsheets/d/19vJNZY_5yjcGF2XGBMNZRCAIB0Kwfpjp8YEOfu-bneM/edit?usp=sharing"",""งานกองทุน!N42"")"),0)</f>
        <v>0</v>
      </c>
      <c r="J825" s="892">
        <f ca="1">IFERROR(__xludf.DUMMYFUNCTION("IMPORTRANGE(""https://docs.google.com/spreadsheets/d/19vJNZY_5yjcGF2XGBMNZRCAIB0Kwfpjp8YEOfu-bneM/edit?usp=sharing"",""งานกองทุน!P42"")"),141115.99)</f>
        <v>141115.99</v>
      </c>
      <c r="K825" s="893">
        <f t="shared" ca="1" si="336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IFERROR(__xludf.DUMMYFUNCTION("IMPORTRANGE(""https://docs.google.com/spreadsheets/d/19vJNZY_5yjcGF2XGBMNZRCAIB0Kwfpjp8YEOfu-bneM/edit?usp=sharing"",""งานกองทุน!M42"")"),0)</f>
        <v>0</v>
      </c>
      <c r="J826" s="892">
        <f ca="1">IFERROR(__xludf.DUMMYFUNCTION("IMPORTRANGE(""https://docs.google.com/spreadsheets/d/19vJNZY_5yjcGF2XGBMNZRCAIB0Kwfpjp8YEOfu-bneM/edit?usp=sharing"",""งานกองทุน!O42"")"),12)</f>
        <v>12</v>
      </c>
      <c r="K826" s="893">
        <f t="shared" ca="1" si="336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IFERROR(__xludf.DUMMYFUNCTION("IMPORTRANGE(""https://docs.google.com/spreadsheets/d/19vJNZY_5yjcGF2XGBMNZRCAIB0Kwfpjp8YEOfu-bneM/edit?usp=sharing"",""งานกองทุน!S42"")"),8280000)</f>
        <v>8280000</v>
      </c>
      <c r="J827" s="892">
        <f ca="1">IFERROR(__xludf.DUMMYFUNCTION("IMPORTRANGE(""https://docs.google.com/spreadsheets/d/19vJNZY_5yjcGF2XGBMNZRCAIB0Kwfpjp8YEOfu-bneM/edit?usp=sharing"",""งานกองทุน!U42"")"),0)</f>
        <v>0</v>
      </c>
      <c r="K827" s="893">
        <f t="shared" ca="1" si="336"/>
        <v>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IFERROR(__xludf.DUMMYFUNCTION("IMPORTRANGE(""https://docs.google.com/spreadsheets/d/19vJNZY_5yjcGF2XGBMNZRCAIB0Kwfpjp8YEOfu-bneM/edit?usp=sharing"",""งานกองทุน!R42"")"),331)</f>
        <v>331</v>
      </c>
      <c r="J828" s="1149">
        <f ca="1">IFERROR(__xludf.DUMMYFUNCTION("IMPORTRANGE(""https://docs.google.com/spreadsheets/d/19vJNZY_5yjcGF2XGBMNZRCAIB0Kwfpjp8YEOfu-bneM/edit?usp=sharing"",""งานกองทุน!T42"")"),0)</f>
        <v>0</v>
      </c>
      <c r="K828" s="1251">
        <f t="shared" ca="1" si="336"/>
        <v>0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FED2-D412-4ED0-B3E8-701125280D4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7.8554687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349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6071332</v>
      </c>
      <c r="M8" s="879">
        <f t="shared" ca="1" si="0"/>
        <v>5555200</v>
      </c>
      <c r="N8" s="879">
        <f t="shared" ca="1" si="0"/>
        <v>3281846.46</v>
      </c>
      <c r="O8" s="879">
        <f t="shared" ref="O8:O16" ca="1" si="1">IF(L8&gt;0,N8*100/L8,0)</f>
        <v>54.054801483430651</v>
      </c>
      <c r="P8" s="879">
        <f t="shared" ref="P8:P16" ca="1" si="2">IF(M8&gt;0,N8*100/M8,0)</f>
        <v>59.077017209101385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6071332</v>
      </c>
      <c r="M10" s="886">
        <f t="shared" ca="1" si="3"/>
        <v>5555200</v>
      </c>
      <c r="N10" s="886">
        <f t="shared" ca="1" si="3"/>
        <v>3281846.46</v>
      </c>
      <c r="O10" s="886">
        <f t="shared" ca="1" si="1"/>
        <v>54.054801483430651</v>
      </c>
      <c r="P10" s="886">
        <f t="shared" ca="1" si="2"/>
        <v>59.077017209101385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5908332</v>
      </c>
      <c r="M11" s="893">
        <f t="shared" ca="1" si="4"/>
        <v>5392200</v>
      </c>
      <c r="N11" s="893">
        <f t="shared" ca="1" si="4"/>
        <v>3119346.46</v>
      </c>
      <c r="O11" s="893">
        <f t="shared" ca="1" si="1"/>
        <v>52.795720687327659</v>
      </c>
      <c r="P11" s="893">
        <f t="shared" ca="1" si="2"/>
        <v>57.849235191573015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5908332</v>
      </c>
      <c r="M13" s="899">
        <f t="shared" ca="1" si="5"/>
        <v>5392200</v>
      </c>
      <c r="N13" s="899">
        <f t="shared" ca="1" si="5"/>
        <v>3119346.46</v>
      </c>
      <c r="O13" s="899">
        <f t="shared" ca="1" si="1"/>
        <v>52.795720687327659</v>
      </c>
      <c r="P13" s="899">
        <f t="shared" ca="1" si="2"/>
        <v>57.849235191573015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163000</v>
      </c>
      <c r="M14" s="893">
        <f t="shared" ca="1" si="6"/>
        <v>163000</v>
      </c>
      <c r="N14" s="893">
        <f t="shared" ca="1" si="6"/>
        <v>162500</v>
      </c>
      <c r="O14" s="893">
        <f t="shared" ca="1" si="1"/>
        <v>99.693251533742327</v>
      </c>
      <c r="P14" s="893">
        <f t="shared" ca="1" si="2"/>
        <v>99.693251533742327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163000</v>
      </c>
      <c r="M16" s="905">
        <f t="shared" ca="1" si="7"/>
        <v>163000</v>
      </c>
      <c r="N16" s="905">
        <f t="shared" ca="1" si="7"/>
        <v>162500</v>
      </c>
      <c r="O16" s="905">
        <f t="shared" ca="1" si="1"/>
        <v>99.693251533742327</v>
      </c>
      <c r="P16" s="905">
        <f t="shared" ca="1" si="2"/>
        <v>99.693251533742327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3941620</v>
      </c>
      <c r="M18" s="879">
        <f t="shared" ca="1" si="8"/>
        <v>3425488</v>
      </c>
      <c r="N18" s="879">
        <f t="shared" ca="1" si="8"/>
        <v>2353557.77</v>
      </c>
      <c r="O18" s="879">
        <f t="shared" ref="O18:O26" ca="1" si="9">IF(L18&gt;0,N18*100/L18,0)</f>
        <v>59.710417797758282</v>
      </c>
      <c r="P18" s="879">
        <f t="shared" ref="P18:P26" ca="1" si="10">IF(M18&gt;0,N18*100/M18,0)</f>
        <v>68.707225656607179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3941620</v>
      </c>
      <c r="M20" s="886">
        <f t="shared" ca="1" si="11"/>
        <v>3425488</v>
      </c>
      <c r="N20" s="886">
        <f t="shared" ca="1" si="11"/>
        <v>2353557.77</v>
      </c>
      <c r="O20" s="886">
        <f t="shared" ca="1" si="9"/>
        <v>59.710417797758282</v>
      </c>
      <c r="P20" s="886">
        <f t="shared" ca="1" si="10"/>
        <v>68.707225656607179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3778620</v>
      </c>
      <c r="M21" s="893">
        <f t="shared" ca="1" si="12"/>
        <v>3262488</v>
      </c>
      <c r="N21" s="893">
        <f t="shared" ca="1" si="12"/>
        <v>2191057.77</v>
      </c>
      <c r="O21" s="893">
        <f t="shared" ca="1" si="9"/>
        <v>57.9856606380107</v>
      </c>
      <c r="P21" s="893">
        <f t="shared" ca="1" si="10"/>
        <v>67.159105872573321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3778620</v>
      </c>
      <c r="M23" s="899">
        <f t="shared" ca="1" si="13"/>
        <v>3262488</v>
      </c>
      <c r="N23" s="899">
        <f t="shared" ca="1" si="13"/>
        <v>2191057.77</v>
      </c>
      <c r="O23" s="899">
        <f t="shared" ca="1" si="9"/>
        <v>57.9856606380107</v>
      </c>
      <c r="P23" s="899">
        <f t="shared" ca="1" si="10"/>
        <v>67.159105872573321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163000</v>
      </c>
      <c r="M24" s="893">
        <f t="shared" ca="1" si="14"/>
        <v>163000</v>
      </c>
      <c r="N24" s="893">
        <f t="shared" ca="1" si="14"/>
        <v>162500</v>
      </c>
      <c r="O24" s="893">
        <f t="shared" ca="1" si="9"/>
        <v>99.693251533742327</v>
      </c>
      <c r="P24" s="893">
        <f t="shared" ca="1" si="10"/>
        <v>99.693251533742327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163000</v>
      </c>
      <c r="M26" s="905">
        <f t="shared" ca="1" si="15"/>
        <v>163000</v>
      </c>
      <c r="N26" s="905">
        <f t="shared" ca="1" si="15"/>
        <v>162500</v>
      </c>
      <c r="O26" s="905">
        <f t="shared" ca="1" si="9"/>
        <v>99.693251533742327</v>
      </c>
      <c r="P26" s="905">
        <f t="shared" ca="1" si="10"/>
        <v>99.693251533742327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2129712</v>
      </c>
      <c r="M28" s="879">
        <f t="shared" ca="1" si="16"/>
        <v>2129712</v>
      </c>
      <c r="N28" s="879">
        <f t="shared" si="16"/>
        <v>928288.69</v>
      </c>
      <c r="O28" s="879">
        <f t="shared" ref="O28:O37" ca="1" si="17">IF(L28&gt;0,N28*100/L28,0)</f>
        <v>43.587522162621049</v>
      </c>
      <c r="P28" s="879">
        <f t="shared" ref="P28:P37" ca="1" si="18">IF(M28&gt;0,N28*100/M28,0)</f>
        <v>43.587522162621049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2129712</v>
      </c>
      <c r="M30" s="886">
        <f t="shared" ca="1" si="19"/>
        <v>2129712</v>
      </c>
      <c r="N30" s="886">
        <f t="shared" si="19"/>
        <v>928288.69</v>
      </c>
      <c r="O30" s="886">
        <f t="shared" ca="1" si="17"/>
        <v>43.587522162621049</v>
      </c>
      <c r="P30" s="886">
        <f t="shared" ca="1" si="18"/>
        <v>43.587522162621049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2129712</v>
      </c>
      <c r="M31" s="893">
        <f t="shared" ca="1" si="20"/>
        <v>2129712</v>
      </c>
      <c r="N31" s="893">
        <f t="shared" si="20"/>
        <v>928288.69</v>
      </c>
      <c r="O31" s="893">
        <f t="shared" ca="1" si="17"/>
        <v>43.587522162621049</v>
      </c>
      <c r="P31" s="893">
        <f t="shared" ca="1" si="18"/>
        <v>43.587522162621049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2129712</v>
      </c>
      <c r="M33" s="899">
        <f t="shared" ca="1" si="21"/>
        <v>2129712</v>
      </c>
      <c r="N33" s="899">
        <f t="shared" si="21"/>
        <v>928288.69</v>
      </c>
      <c r="O33" s="899">
        <f t="shared" ca="1" si="17"/>
        <v>43.587522162621049</v>
      </c>
      <c r="P33" s="899">
        <f t="shared" ca="1" si="18"/>
        <v>43.587522162621049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3941620</v>
      </c>
      <c r="M37" s="912">
        <f t="shared" ca="1" si="24"/>
        <v>3425488</v>
      </c>
      <c r="N37" s="912">
        <f t="shared" ca="1" si="24"/>
        <v>2353557.77</v>
      </c>
      <c r="O37" s="912">
        <f t="shared" ca="1" si="17"/>
        <v>59.710417797758282</v>
      </c>
      <c r="P37" s="912">
        <f t="shared" ca="1" si="18"/>
        <v>68.707225656607179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657250</v>
      </c>
      <c r="M41" s="938">
        <f t="shared" ca="1" si="25"/>
        <v>672493</v>
      </c>
      <c r="N41" s="938">
        <f t="shared" ca="1" si="25"/>
        <v>338593</v>
      </c>
      <c r="O41" s="938">
        <f t="shared" ref="O41:O49" ca="1" si="26">IF(L41&gt;0,N41*100/L41,0)</f>
        <v>51.516622289844044</v>
      </c>
      <c r="P41" s="938">
        <f t="shared" ref="P41:P49" ca="1" si="27">IF(M41&gt;0,N41*100/M41,0)</f>
        <v>50.348925565024466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657250</v>
      </c>
      <c r="M43" s="944">
        <f t="shared" ca="1" si="28"/>
        <v>672493</v>
      </c>
      <c r="N43" s="944">
        <f t="shared" ca="1" si="28"/>
        <v>338593</v>
      </c>
      <c r="O43" s="944">
        <f t="shared" ca="1" si="26"/>
        <v>51.516622289844044</v>
      </c>
      <c r="P43" s="944">
        <f t="shared" ca="1" si="27"/>
        <v>50.348925565024466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657250</v>
      </c>
      <c r="M44" s="893">
        <f t="shared" ca="1" si="29"/>
        <v>672493</v>
      </c>
      <c r="N44" s="893">
        <f t="shared" ca="1" si="29"/>
        <v>338593</v>
      </c>
      <c r="O44" s="893">
        <f t="shared" ca="1" si="26"/>
        <v>51.516622289844044</v>
      </c>
      <c r="P44" s="893">
        <f t="shared" ca="1" si="27"/>
        <v>50.348925565024466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IFERROR(__xludf.DUMMYFUNCTION("IMPORTRANGE(""https://docs.google.com/spreadsheets/d/1MeEWN-I1oV_STSDYn1IFDPWt_1FKiwhDph83XaGc0o0/edit?usp=sharing"",""งบพรบ!M43"")"),657250)</f>
        <v>657250</v>
      </c>
      <c r="M46" s="899">
        <f ca="1">IFERROR(__xludf.DUMMYFUNCTION("IMPORTRANGE(""https://docs.google.com/spreadsheets/d/1MeEWN-I1oV_STSDYn1IFDPWt_1FKiwhDph83XaGc0o0/edit?usp=sharing"",""งบพรบ!R43"")"),672493)</f>
        <v>672493</v>
      </c>
      <c r="N46" s="899">
        <f ca="1">IFERROR(__xludf.DUMMYFUNCTION("IMPORTRANGE(""https://docs.google.com/spreadsheets/d/1MeEWN-I1oV_STSDYn1IFDPWt_1FKiwhDph83XaGc0o0/edit?usp=sharing"",""งบพรบ!T43"")"),338593)</f>
        <v>338593</v>
      </c>
      <c r="O46" s="899">
        <f t="shared" ca="1" si="26"/>
        <v>51.516622289844044</v>
      </c>
      <c r="P46" s="899">
        <f t="shared" ca="1" si="27"/>
        <v>50.348925565024466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IFERROR(__xludf.DUMMYFUNCTION("IMPORTRANGE(""https://docs.google.com/spreadsheets/d/1MeEWN-I1oV_STSDYn1IFDPWt_1FKiwhDph83XaGc0o0/edit?usp=sharing"",""งบพรบ!P43"")"),0)</f>
        <v>0</v>
      </c>
      <c r="M49" s="905">
        <f ca="1">IFERROR(__xludf.DUMMYFUNCTION("IMPORTRANGE(""https://docs.google.com/spreadsheets/d/1MeEWN-I1oV_STSDYn1IFDPWt_1FKiwhDph83XaGc0o0/edit?usp=sharing"",""งบพรบ!S43"")"),0)</f>
        <v>0</v>
      </c>
      <c r="N49" s="905">
        <f ca="1">IFERROR(__xludf.DUMMYFUNCTION("IMPORTRANGE(""https://docs.google.com/spreadsheets/d/1MeEWN-I1oV_STSDYn1IFDPWt_1FKiwhDph83XaGc0o0/edit?usp=sharing"",""งบพรบ!U43"")"),0)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729400</v>
      </c>
      <c r="M53" s="968">
        <f t="shared" ca="1" si="31"/>
        <v>603670</v>
      </c>
      <c r="N53" s="968">
        <f t="shared" ca="1" si="31"/>
        <v>518399.58</v>
      </c>
      <c r="O53" s="968">
        <f t="shared" ref="O53:O61" ca="1" si="32">IF(L53&gt;0,N53*100/L53,0)</f>
        <v>71.07205648478201</v>
      </c>
      <c r="P53" s="968">
        <f t="shared" ref="P53:P61" ca="1" si="33">IF(M53&gt;0,N53*100/M53,0)</f>
        <v>85.874663309424022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729400</v>
      </c>
      <c r="M55" s="974">
        <f t="shared" ca="1" si="34"/>
        <v>603670</v>
      </c>
      <c r="N55" s="974">
        <f t="shared" ca="1" si="34"/>
        <v>518399.58</v>
      </c>
      <c r="O55" s="974">
        <f t="shared" ca="1" si="32"/>
        <v>71.07205648478201</v>
      </c>
      <c r="P55" s="974">
        <f t="shared" ca="1" si="33"/>
        <v>85.874663309424022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729400</v>
      </c>
      <c r="M56" s="893">
        <f t="shared" ca="1" si="35"/>
        <v>603670</v>
      </c>
      <c r="N56" s="893">
        <f t="shared" ca="1" si="35"/>
        <v>518399.58</v>
      </c>
      <c r="O56" s="893">
        <f t="shared" ca="1" si="32"/>
        <v>71.07205648478201</v>
      </c>
      <c r="P56" s="893">
        <f t="shared" ca="1" si="33"/>
        <v>85.874663309424022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IFERROR(__xludf.DUMMYFUNCTION("IMPORTRANGE(""https://docs.google.com/spreadsheets/d/1MeEWN-I1oV_STSDYn1IFDPWt_1FKiwhDph83XaGc0o0/edit?usp=sharing"",""งบพรบ!W43"")"),729400)</f>
        <v>729400</v>
      </c>
      <c r="M58" s="899">
        <f ca="1">IFERROR(__xludf.DUMMYFUNCTION("IMPORTRANGE(""https://docs.google.com/spreadsheets/d/1MeEWN-I1oV_STSDYn1IFDPWt_1FKiwhDph83XaGc0o0/edit?usp=sharing"",""งบพรบ!AB43"")"),603670)</f>
        <v>603670</v>
      </c>
      <c r="N58" s="899">
        <f ca="1">IFERROR(__xludf.DUMMYFUNCTION("IMPORTRANGE(""https://docs.google.com/spreadsheets/d/1MeEWN-I1oV_STSDYn1IFDPWt_1FKiwhDph83XaGc0o0/edit?usp=sharing"",""งบพรบ!AD43"")"),518399.58)</f>
        <v>518399.58</v>
      </c>
      <c r="O58" s="899">
        <f t="shared" ca="1" si="32"/>
        <v>71.07205648478201</v>
      </c>
      <c r="P58" s="899">
        <f t="shared" ca="1" si="33"/>
        <v>85.874663309424022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IFERROR(__xludf.DUMMYFUNCTION("IMPORTRANGE(""https://docs.google.com/spreadsheets/d/1MeEWN-I1oV_STSDYn1IFDPWt_1FKiwhDph83XaGc0o0/edit?usp=sharing"",""งบพรบ!Z43"")"),0)</f>
        <v>0</v>
      </c>
      <c r="M61" s="905">
        <f ca="1">IFERROR(__xludf.DUMMYFUNCTION("IMPORTRANGE(""https://docs.google.com/spreadsheets/d/1MeEWN-I1oV_STSDYn1IFDPWt_1FKiwhDph83XaGc0o0/edit?usp=sharing"",""งบพรบ!AC43"")"),0)</f>
        <v>0</v>
      </c>
      <c r="N61" s="905">
        <f ca="1">IFERROR(__xludf.DUMMYFUNCTION("IMPORTRANGE(""https://docs.google.com/spreadsheets/d/1MeEWN-I1oV_STSDYn1IFDPWt_1FKiwhDph83XaGc0o0/edit?usp=sharing"",""งบพรบ!AE43"")"),0)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IFERROR(__xludf.DUMMYFUNCTION("IMPORTRANGE(""https://docs.google.com/spreadsheets/d/1MeEWN-I1oV_STSDYn1IFDPWt_1FKiwhDph83XaGc0o0/edit?usp=sharing"",""งบพรบ!AG43"")"),0)</f>
        <v>0</v>
      </c>
      <c r="M71" s="899">
        <f ca="1">IFERROR(__xludf.DUMMYFUNCTION("IMPORTRANGE(""https://docs.google.com/spreadsheets/d/1MeEWN-I1oV_STSDYn1IFDPWt_1FKiwhDph83XaGc0o0/edit?usp=sharing"",""งบพรบ!AL43"")"),0)</f>
        <v>0</v>
      </c>
      <c r="N71" s="899">
        <f ca="1">IFERROR(__xludf.DUMMYFUNCTION("IMPORTRANGE(""https://docs.google.com/spreadsheets/d/1MeEWN-I1oV_STSDYn1IFDPWt_1FKiwhDph83XaGc0o0/edit?usp=sharing"",""งบพรบ!AN43"")"),0)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IFERROR(__xludf.DUMMYFUNCTION("IMPORTRANGE(""https://docs.google.com/spreadsheets/d/1MeEWN-I1oV_STSDYn1IFDPWt_1FKiwhDph83XaGc0o0/edit?usp=sharing"",""งบพรบ!AJ43"")"),0)</f>
        <v>0</v>
      </c>
      <c r="M74" s="899">
        <f ca="1">IFERROR(__xludf.DUMMYFUNCTION("IMPORTRANGE(""https://docs.google.com/spreadsheets/d/1MeEWN-I1oV_STSDYn1IFDPWt_1FKiwhDph83XaGc0o0/edit?usp=sharing"",""งบพรบ!AM43"")"),0)</f>
        <v>0</v>
      </c>
      <c r="N74" s="899">
        <f ca="1">IFERROR(__xludf.DUMMYFUNCTION("IMPORTRANGE(""https://docs.google.com/spreadsheets/d/1MeEWN-I1oV_STSDYn1IFDPWt_1FKiwhDph83XaGc0o0/edit?usp=sharing"",""งบพรบ!AO43"")"),0)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IFERROR(__xludf.DUMMYFUNCTION("IMPORTRANGE(""https://docs.google.com/spreadsheets/d/1QqKyyYR6Q21VydFLVH3TRQUabQu_ym0Zz7PgGX0-kHA/edit?usp=sharing"",""แผน!H43"")"),0)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IFERROR(__xludf.DUMMYFUNCTION("IMPORTRANGE(""https://docs.google.com/spreadsheets/d/1QqKyyYR6Q21VydFLVH3TRQUabQu_ym0Zz7PgGX0-kHA/edit?usp=sharing"",""แผน!I43"")"),0)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IFERROR(__xludf.DUMMYFUNCTION("IMPORTRANGE(""https://docs.google.com/spreadsheets/d/1QqKyyYR6Q21VydFLVH3TRQUabQu_ym0Zz7PgGX0-kHA/edit?usp=sharing"",""แผน!F43"")"),0)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IFERROR(__xludf.DUMMYFUNCTION("IMPORTRANGE(""https://docs.google.com/spreadsheets/d/1QqKyyYR6Q21VydFLVH3TRQUabQu_ym0Zz7PgGX0-kHA/edit?usp=sharing"",""แผน!G43"")"),0)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IFERROR(__xludf.DUMMYFUNCTION("IMPORTRANGE(""https://docs.google.com/spreadsheets/d/1QqKyyYR6Q21VydFLVH3TRQUabQu_ym0Zz7PgGX0-kHA/edit?usp=sharing"",""แผน!D43"")"),0)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IFERROR(__xludf.DUMMYFUNCTION("IMPORTRANGE(""https://docs.google.com/spreadsheets/d/1QqKyyYR6Q21VydFLVH3TRQUabQu_ym0Zz7PgGX0-kHA/edit?usp=sharing"",""แผน!E43"")"),0)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IFERROR(__xludf.DUMMYFUNCTION("IMPORTRANGE(""https://docs.google.com/spreadsheets/d/1QqKyyYR6Q21VydFLVH3TRQUabQu_ym0Zz7PgGX0-kHA/edit?usp=sharing"",""แผน!J43"")"),0)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509040</v>
      </c>
      <c r="M88" s="1004">
        <f t="shared" ca="1" si="49"/>
        <v>384440</v>
      </c>
      <c r="N88" s="1004">
        <f t="shared" ca="1" si="49"/>
        <v>307831.19</v>
      </c>
      <c r="O88" s="1004">
        <f t="shared" ref="O88:O96" ca="1" si="50">IF(L88&gt;0,N88*100/L88,0)</f>
        <v>60.472888181675309</v>
      </c>
      <c r="P88" s="1004">
        <f t="shared" ref="P88:P96" ca="1" si="51">IF(M88&gt;0,N88*100/M88,0)</f>
        <v>80.072622515867238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509040</v>
      </c>
      <c r="M90" s="899">
        <f t="shared" ca="1" si="52"/>
        <v>384440</v>
      </c>
      <c r="N90" s="899">
        <f t="shared" ca="1" si="52"/>
        <v>307831.19</v>
      </c>
      <c r="O90" s="899">
        <f t="shared" ca="1" si="50"/>
        <v>60.472888181675309</v>
      </c>
      <c r="P90" s="899">
        <f t="shared" ca="1" si="51"/>
        <v>80.072622515867238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509040</v>
      </c>
      <c r="M91" s="893">
        <f t="shared" ca="1" si="53"/>
        <v>384440</v>
      </c>
      <c r="N91" s="893">
        <f t="shared" ca="1" si="53"/>
        <v>307831.19</v>
      </c>
      <c r="O91" s="893">
        <f t="shared" ca="1" si="50"/>
        <v>60.472888181675309</v>
      </c>
      <c r="P91" s="893">
        <f t="shared" ca="1" si="51"/>
        <v>80.072622515867238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IFERROR(__xludf.DUMMYFUNCTION("IMPORTRANGE(""https://docs.google.com/spreadsheets/d/1MeEWN-I1oV_STSDYn1IFDPWt_1FKiwhDph83XaGc0o0/edit?usp=sharing"",""งบพรบ!AQ43"")"),509040)</f>
        <v>509040</v>
      </c>
      <c r="M93" s="899">
        <f ca="1">IFERROR(__xludf.DUMMYFUNCTION("IMPORTRANGE(""https://docs.google.com/spreadsheets/d/1MeEWN-I1oV_STSDYn1IFDPWt_1FKiwhDph83XaGc0o0/edit?usp=sharing"",""งบพรบ!AV43"")"),384440)</f>
        <v>384440</v>
      </c>
      <c r="N93" s="899">
        <f ca="1">IFERROR(__xludf.DUMMYFUNCTION("IMPORTRANGE(""https://docs.google.com/spreadsheets/d/1MeEWN-I1oV_STSDYn1IFDPWt_1FKiwhDph83XaGc0o0/edit?usp=sharing"",""งบพรบ!AX43"")"),307831.19)</f>
        <v>307831.19</v>
      </c>
      <c r="O93" s="899">
        <f t="shared" ca="1" si="50"/>
        <v>60.472888181675309</v>
      </c>
      <c r="P93" s="899">
        <f t="shared" ca="1" si="51"/>
        <v>80.072622515867238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IFERROR(__xludf.DUMMYFUNCTION("IMPORTRANGE(""https://docs.google.com/spreadsheets/d/1MeEWN-I1oV_STSDYn1IFDPWt_1FKiwhDph83XaGc0o0/edit?usp=sharing"",""งบพรบ!AT43"")"),0)</f>
        <v>0</v>
      </c>
      <c r="M96" s="899">
        <f ca="1">IFERROR(__xludf.DUMMYFUNCTION("IMPORTRANGE(""https://docs.google.com/spreadsheets/d/1MeEWN-I1oV_STSDYn1IFDPWt_1FKiwhDph83XaGc0o0/edit?usp=sharing"",""งบพรบ!AW43"")"),0)</f>
        <v>0</v>
      </c>
      <c r="N96" s="899">
        <f ca="1">IFERROR(__xludf.DUMMYFUNCTION("IMPORTRANGE(""https://docs.google.com/spreadsheets/d/1MeEWN-I1oV_STSDYn1IFDPWt_1FKiwhDph83XaGc0o0/edit?usp=sharing"",""งบพรบ!AY43"")"),0)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IFERROR(__xludf.DUMMYFUNCTION("IMPORTRANGE(""https://docs.google.com/spreadsheets/d/1QqKyyYR6Q21VydFLVH3TRQUabQu_ym0Zz7PgGX0-kHA/edit?usp=sharing"",""แผน!K43"")"),30)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IFERROR(__xludf.DUMMYFUNCTION("IMPORTRANGE(""https://docs.google.com/spreadsheets/d/1QqKyyYR6Q21VydFLVH3TRQUabQu_ym0Zz7PgGX0-kHA/edit?usp=sharing"",""แผน!L43"")"),10)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IFERROR(__xludf.DUMMYFUNCTION("IMPORTRANGE(""https://docs.google.com/spreadsheets/d/1QqKyyYR6Q21VydFLVH3TRQUabQu_ym0Zz7PgGX0-kHA/edit?usp=sharing"",""แผน!M43"")"),1)</f>
        <v>1</v>
      </c>
      <c r="J100" s="892">
        <f>J107+J110</f>
        <v>1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IFERROR(__xludf.DUMMYFUNCTION("IMPORTRANGE(""https://docs.google.com/spreadsheets/d/1QqKyyYR6Q21VydFLVH3TRQUabQu_ym0Zz7PgGX0-kHA/edit?usp=sharing"",""แผน!N43"")"),30)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IFERROR(__xludf.DUMMYFUNCTION("IMPORTRANGE(""https://docs.google.com/spreadsheets/d/1QqKyyYR6Q21VydFLVH3TRQUabQu_ym0Zz7PgGX0-kHA/edit?usp=sharing"",""แผน!O43"")"),10)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IFERROR(__xludf.DUMMYFUNCTION("IMPORTRANGE(""https://docs.google.com/spreadsheets/d/1QqKyyYR6Q21VydFLVH3TRQUabQu_ym0Zz7PgGX0-kHA/edit?usp=sharing"",""แผน!O43"")"),10)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IFERROR(__xludf.DUMMYFUNCTION("IMPORTRANGE(""https://docs.google.com/spreadsheets/d/1QqKyyYR6Q21VydFLVH3TRQUabQu_ym0Zz7PgGX0-kHA/edit?usp=sharing"",""แผน!P43"")"),1)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IFERROR(__xludf.DUMMYFUNCTION("IMPORTRANGE(""https://docs.google.com/spreadsheets/d/1QqKyyYR6Q21VydFLVH3TRQUabQu_ym0Zz7PgGX0-kHA/edit?usp=sharing"",""แผน!P43"")"),1)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IFERROR(__xludf.DUMMYFUNCTION("IMPORTRANGE(""https://docs.google.com/spreadsheets/d/1QqKyyYR6Q21VydFLVH3TRQUabQu_ym0Zz7PgGX0-kHA/edit?usp=sharing"",""แผน!Q43"")"),0)</f>
        <v>0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IFERROR(__xludf.DUMMYFUNCTION("IMPORTRANGE(""https://docs.google.com/spreadsheets/d/1QqKyyYR6Q21VydFLVH3TRQUabQu_ym0Zz7PgGX0-kHA/edit?usp=sharing"",""แผน!Q43"")"),0)</f>
        <v>0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IFERROR(__xludf.DUMMYFUNCTION("IMPORTRANGE(""https://docs.google.com/spreadsheets/d/1QqKyyYR6Q21VydFLVH3TRQUabQu_ym0Zz7PgGX0-kHA/edit?usp=sharing"",""แผน!R43"")"),10)</f>
        <v>10</v>
      </c>
      <c r="J111" s="1031">
        <f>J114</f>
        <v>10</v>
      </c>
      <c r="K111" s="1032">
        <f t="shared" ca="1" si="58"/>
        <v>100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1</v>
      </c>
      <c r="J112" s="1031">
        <f t="shared" si="59"/>
        <v>1</v>
      </c>
      <c r="K112" s="1032">
        <f t="shared" ca="1" si="58"/>
        <v>100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IFERROR(__xludf.DUMMYFUNCTION("IMPORTRANGE(""https://docs.google.com/spreadsheets/d/1QqKyyYR6Q21VydFLVH3TRQUabQu_ym0Zz7PgGX0-kHA/edit?usp=sharing"",""แผน!R43"")"),10)</f>
        <v>10</v>
      </c>
      <c r="J113" s="1024">
        <v>10</v>
      </c>
      <c r="K113" s="893">
        <f t="shared" ca="1" si="58"/>
        <v>100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IFERROR(__xludf.DUMMYFUNCTION("IMPORTRANGE(""https://docs.google.com/spreadsheets/d/1QqKyyYR6Q21VydFLVH3TRQUabQu_ym0Zz7PgGX0-kHA/edit?usp=sharing"",""แผน!R43"")"),10)</f>
        <v>10</v>
      </c>
      <c r="J114" s="1024">
        <v>10</v>
      </c>
      <c r="K114" s="893">
        <f t="shared" ca="1" si="58"/>
        <v>100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IFERROR(__xludf.DUMMYFUNCTION("IMPORTRANGE(""https://docs.google.com/spreadsheets/d/1QqKyyYR6Q21VydFLVH3TRQUabQu_ym0Zz7PgGX0-kHA/edit?usp=sharing"",""แผน!S43"")"),1)</f>
        <v>1</v>
      </c>
      <c r="J115" s="1024">
        <v>1</v>
      </c>
      <c r="K115" s="893">
        <f t="shared" ca="1" si="58"/>
        <v>100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IFERROR(__xludf.DUMMYFUNCTION("IMPORTRANGE(""https://docs.google.com/spreadsheets/d/1QqKyyYR6Q21VydFLVH3TRQUabQu_ym0Zz7PgGX0-kHA/edit?usp=sharing"",""แผน!T43"")"),0)</f>
        <v>0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IFERROR(__xludf.DUMMYFUNCTION("IMPORTRANGE(""https://docs.google.com/spreadsheets/d/1MeEWN-I1oV_STSDYn1IFDPWt_1FKiwhDph83XaGc0o0/edit?usp=sharing"",""งบพรบ!BA43"")"),0)</f>
        <v>0</v>
      </c>
      <c r="M124" s="899">
        <f ca="1">IFERROR(__xludf.DUMMYFUNCTION("IMPORTRANGE(""https://docs.google.com/spreadsheets/d/1MeEWN-I1oV_STSDYn1IFDPWt_1FKiwhDph83XaGc0o0/edit?usp=sharing"",""งบพรบ!BF43"")"),0)</f>
        <v>0</v>
      </c>
      <c r="N124" s="899">
        <f ca="1">IFERROR(__xludf.DUMMYFUNCTION("IMPORTRANGE(""https://docs.google.com/spreadsheets/d/1MeEWN-I1oV_STSDYn1IFDPWt_1FKiwhDph83XaGc0o0/edit?usp=sharing"",""งบพรบ!BH43"")"),0)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IFERROR(__xludf.DUMMYFUNCTION("IMPORTRANGE(""https://docs.google.com/spreadsheets/d/1MeEWN-I1oV_STSDYn1IFDPWt_1FKiwhDph83XaGc0o0/edit?usp=sharing"",""งบพรบ!BD43"")"),0)</f>
        <v>0</v>
      </c>
      <c r="M127" s="899">
        <f ca="1">IFERROR(__xludf.DUMMYFUNCTION("IMPORTRANGE(""https://docs.google.com/spreadsheets/d/1MeEWN-I1oV_STSDYn1IFDPWt_1FKiwhDph83XaGc0o0/edit?usp=sharing"",""งบพรบ!BG43"")"),0)</f>
        <v>0</v>
      </c>
      <c r="N127" s="899">
        <f ca="1">IFERROR(__xludf.DUMMYFUNCTION("IMPORTRANGE(""https://docs.google.com/spreadsheets/d/1MeEWN-I1oV_STSDYn1IFDPWt_1FKiwhDph83XaGc0o0/edit?usp=sharing"",""งบพรบ!BI43"")"),0)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1</v>
      </c>
      <c r="J130" s="994">
        <f t="shared" si="66"/>
        <v>1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10</v>
      </c>
      <c r="J131" s="994">
        <f t="shared" ca="1" si="68"/>
        <v>10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151655</v>
      </c>
      <c r="M132" s="1004">
        <f t="shared" ca="1" si="69"/>
        <v>146900</v>
      </c>
      <c r="N132" s="1004">
        <f t="shared" ca="1" si="69"/>
        <v>135060</v>
      </c>
      <c r="O132" s="1004">
        <f t="shared" ref="O132:O140" ca="1" si="70">IF(L132&gt;0,N132*100/L132,0)</f>
        <v>89.057400019781738</v>
      </c>
      <c r="P132" s="1004">
        <f t="shared" ref="P132:P140" ca="1" si="71">IF(M132&gt;0,N132*100/M132,0)</f>
        <v>91.940095302927162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151655</v>
      </c>
      <c r="M134" s="899">
        <f t="shared" ca="1" si="72"/>
        <v>146900</v>
      </c>
      <c r="N134" s="899">
        <f t="shared" ca="1" si="72"/>
        <v>135060</v>
      </c>
      <c r="O134" s="899">
        <f t="shared" ca="1" si="70"/>
        <v>89.057400019781738</v>
      </c>
      <c r="P134" s="899">
        <f t="shared" ca="1" si="71"/>
        <v>91.940095302927162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48655</v>
      </c>
      <c r="M135" s="893">
        <f t="shared" ca="1" si="73"/>
        <v>43900</v>
      </c>
      <c r="N135" s="893">
        <f t="shared" ca="1" si="73"/>
        <v>32560</v>
      </c>
      <c r="O135" s="893">
        <f t="shared" ca="1" si="70"/>
        <v>66.920152091254749</v>
      </c>
      <c r="P135" s="893">
        <f t="shared" ca="1" si="71"/>
        <v>74.168564920273354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IFERROR(__xludf.DUMMYFUNCTION("IMPORTRANGE(""https://docs.google.com/spreadsheets/d/1MeEWN-I1oV_STSDYn1IFDPWt_1FKiwhDph83XaGc0o0/edit?usp=sharing"",""งบพรบ!BK43"")"),48655)</f>
        <v>48655</v>
      </c>
      <c r="M137" s="899">
        <f ca="1">IFERROR(__xludf.DUMMYFUNCTION("IMPORTRANGE(""https://docs.google.com/spreadsheets/d/1MeEWN-I1oV_STSDYn1IFDPWt_1FKiwhDph83XaGc0o0/edit?usp=sharing"",""งบพรบ!BP43"")"),43900)</f>
        <v>43900</v>
      </c>
      <c r="N137" s="899">
        <f ca="1">IFERROR(__xludf.DUMMYFUNCTION("IMPORTRANGE(""https://docs.google.com/spreadsheets/d/1MeEWN-I1oV_STSDYn1IFDPWt_1FKiwhDph83XaGc0o0/edit?usp=sharing"",""งบพรบ!BR43"")"),32560)</f>
        <v>32560</v>
      </c>
      <c r="O137" s="899">
        <f t="shared" ca="1" si="70"/>
        <v>66.920152091254749</v>
      </c>
      <c r="P137" s="899">
        <f t="shared" ca="1" si="71"/>
        <v>74.168564920273354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103000</v>
      </c>
      <c r="M138" s="893">
        <f t="shared" ca="1" si="74"/>
        <v>103000</v>
      </c>
      <c r="N138" s="893">
        <f t="shared" ca="1" si="74"/>
        <v>102500</v>
      </c>
      <c r="O138" s="893">
        <f t="shared" ca="1" si="70"/>
        <v>99.514563106796118</v>
      </c>
      <c r="P138" s="893">
        <f t="shared" ca="1" si="71"/>
        <v>99.514563106796118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IFERROR(__xludf.DUMMYFUNCTION("IMPORTRANGE(""https://docs.google.com/spreadsheets/d/1MeEWN-I1oV_STSDYn1IFDPWt_1FKiwhDph83XaGc0o0/edit?usp=sharing"",""งบพรบ!BN43"")"),103000)</f>
        <v>103000</v>
      </c>
      <c r="M140" s="899">
        <f ca="1">IFERROR(__xludf.DUMMYFUNCTION("IMPORTRANGE(""https://docs.google.com/spreadsheets/d/1MeEWN-I1oV_STSDYn1IFDPWt_1FKiwhDph83XaGc0o0/edit?usp=sharing"",""งบพรบ!BQ43"")"),103000)</f>
        <v>103000</v>
      </c>
      <c r="N140" s="899">
        <f ca="1">IFERROR(__xludf.DUMMYFUNCTION("IMPORTRANGE(""https://docs.google.com/spreadsheets/d/1MeEWN-I1oV_STSDYn1IFDPWt_1FKiwhDph83XaGc0o0/edit?usp=sharing"",""งบพรบ!BS43"")"),102500)</f>
        <v>102500</v>
      </c>
      <c r="O140" s="899">
        <f t="shared" ca="1" si="70"/>
        <v>99.514563106796118</v>
      </c>
      <c r="P140" s="899">
        <f t="shared" ca="1" si="71"/>
        <v>99.514563106796118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10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10</v>
      </c>
      <c r="J143" s="892">
        <f ca="1">IF(AND(J144&gt;=I144,J145&gt;=I145),J145,0)</f>
        <v>10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IFERROR(__xludf.DUMMYFUNCTION("IMPORTRANGE(""https://docs.google.com/spreadsheets/d/1QqKyyYR6Q21VydFLVH3TRQUabQu_ym0Zz7PgGX0-kHA/edit?usp=sharing"",""แผน!U43"")"),5)</f>
        <v>5</v>
      </c>
      <c r="J144" s="1024">
        <v>10</v>
      </c>
      <c r="K144" s="893">
        <f t="shared" ca="1" si="75"/>
        <v>200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IFERROR(__xludf.DUMMYFUNCTION("IMPORTRANGE(""https://docs.google.com/spreadsheets/d/1QqKyyYR6Q21VydFLVH3TRQUabQu_ym0Zz7PgGX0-kHA/edit?usp=sharing"",""แผน!V43"")"),10)</f>
        <v>10</v>
      </c>
      <c r="J145" s="1024">
        <v>10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IFERROR(__xludf.DUMMYFUNCTION("IMPORTRANGE(""https://docs.google.com/spreadsheets/d/1QqKyyYR6Q21VydFLVH3TRQUabQu_ym0Zz7PgGX0-kHA/edit?usp=sharing"",""แผน!W43"")"),1)</f>
        <v>1</v>
      </c>
      <c r="J146" s="1024">
        <v>1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7760</v>
      </c>
      <c r="N149" s="1004">
        <f t="shared" ca="1" si="77"/>
        <v>6282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80.953608247422679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7760</v>
      </c>
      <c r="N151" s="899">
        <f t="shared" ca="1" si="80"/>
        <v>6282</v>
      </c>
      <c r="O151" s="899">
        <f t="shared" ca="1" si="78"/>
        <v>0</v>
      </c>
      <c r="P151" s="899">
        <f t="shared" ca="1" si="79"/>
        <v>80.953608247422679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7760</v>
      </c>
      <c r="N152" s="893">
        <f t="shared" ca="1" si="81"/>
        <v>6282</v>
      </c>
      <c r="O152" s="893">
        <f t="shared" ca="1" si="78"/>
        <v>0</v>
      </c>
      <c r="P152" s="893">
        <f t="shared" ca="1" si="79"/>
        <v>80.953608247422679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IFERROR(__xludf.DUMMYFUNCTION("IMPORTRANGE(""https://docs.google.com/spreadsheets/d/1MeEWN-I1oV_STSDYn1IFDPWt_1FKiwhDph83XaGc0o0/edit?usp=sharing"",""งบพรบ!BU43"")"),0)</f>
        <v>0</v>
      </c>
      <c r="M154" s="899">
        <f ca="1">IFERROR(__xludf.DUMMYFUNCTION("IMPORTRANGE(""https://docs.google.com/spreadsheets/d/1MeEWN-I1oV_STSDYn1IFDPWt_1FKiwhDph83XaGc0o0/edit?usp=sharing"",""งบพรบ!BZ43"")"),7760)</f>
        <v>7760</v>
      </c>
      <c r="N154" s="899">
        <f ca="1">IFERROR(__xludf.DUMMYFUNCTION("IMPORTRANGE(""https://docs.google.com/spreadsheets/d/1MeEWN-I1oV_STSDYn1IFDPWt_1FKiwhDph83XaGc0o0/edit?usp=sharing"",""งบพรบ!CB43"")"),6282)</f>
        <v>6282</v>
      </c>
      <c r="O154" s="899">
        <f t="shared" ca="1" si="78"/>
        <v>0</v>
      </c>
      <c r="P154" s="899">
        <f t="shared" ca="1" si="79"/>
        <v>80.953608247422679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IFERROR(__xludf.DUMMYFUNCTION("IMPORTRANGE(""https://docs.google.com/spreadsheets/d/1MeEWN-I1oV_STSDYn1IFDPWt_1FKiwhDph83XaGc0o0/edit?usp=sharing"",""งบพรบ!BX43"")"),0)</f>
        <v>0</v>
      </c>
      <c r="M157" s="899">
        <f ca="1">IFERROR(__xludf.DUMMYFUNCTION("IMPORTRANGE(""https://docs.google.com/spreadsheets/d/1MeEWN-I1oV_STSDYn1IFDPWt_1FKiwhDph83XaGc0o0/edit?usp=sharing"",""งบพรบ!CA43"")"),0)</f>
        <v>0</v>
      </c>
      <c r="N157" s="899">
        <f ca="1">IFERROR(__xludf.DUMMYFUNCTION("IMPORTRANGE(""https://docs.google.com/spreadsheets/d/1MeEWN-I1oV_STSDYn1IFDPWt_1FKiwhDph83XaGc0o0/edit?usp=sharing"",""งบพรบ!CC43"")"),0)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IFERROR(__xludf.DUMMYFUNCTION("IMPORTRANGE(""https://docs.google.com/spreadsheets/d/1QqKyyYR6Q21VydFLVH3TRQUabQu_ym0Zz7PgGX0-kHA/edit?usp=sharing"",""แผน!X43"")"),0)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37295</v>
      </c>
      <c r="N165" s="1004">
        <f t="shared" ca="1" si="84"/>
        <v>12910</v>
      </c>
      <c r="O165" s="1004">
        <f t="shared" ref="O165:O173" ca="1" si="85">IF(L165&gt;0,N165*100/L165,0)</f>
        <v>58.535479483110407</v>
      </c>
      <c r="P165" s="1004">
        <f t="shared" ref="P165:P173" ca="1" si="86">IF(M165&gt;0,N165*100/M165,0)</f>
        <v>34.615900254725837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37295</v>
      </c>
      <c r="N167" s="899">
        <f t="shared" ca="1" si="87"/>
        <v>12910</v>
      </c>
      <c r="O167" s="899">
        <f t="shared" ca="1" si="85"/>
        <v>58.535479483110407</v>
      </c>
      <c r="P167" s="899">
        <f t="shared" ca="1" si="86"/>
        <v>34.615900254725837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37295</v>
      </c>
      <c r="N168" s="893">
        <f t="shared" ca="1" si="88"/>
        <v>12910</v>
      </c>
      <c r="O168" s="893">
        <f t="shared" ca="1" si="85"/>
        <v>58.535479483110407</v>
      </c>
      <c r="P168" s="893">
        <f t="shared" ca="1" si="86"/>
        <v>34.615900254725837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IFERROR(__xludf.DUMMYFUNCTION("IMPORTRANGE(""https://docs.google.com/spreadsheets/d/1MeEWN-I1oV_STSDYn1IFDPWt_1FKiwhDph83XaGc0o0/edit?usp=sharing"",""งบพรบ!CE43"")"),22055)</f>
        <v>22055</v>
      </c>
      <c r="M170" s="899">
        <f ca="1">IFERROR(__xludf.DUMMYFUNCTION("IMPORTRANGE(""https://docs.google.com/spreadsheets/d/1MeEWN-I1oV_STSDYn1IFDPWt_1FKiwhDph83XaGc0o0/edit?usp=sharing"",""งบพรบ!CJ43"")"),37295)</f>
        <v>37295</v>
      </c>
      <c r="N170" s="899">
        <f ca="1">IFERROR(__xludf.DUMMYFUNCTION("IMPORTRANGE(""https://docs.google.com/spreadsheets/d/1MeEWN-I1oV_STSDYn1IFDPWt_1FKiwhDph83XaGc0o0/edit?usp=sharing"",""งบพรบ!CL43"")"),12910)</f>
        <v>12910</v>
      </c>
      <c r="O170" s="899">
        <f t="shared" ca="1" si="85"/>
        <v>58.535479483110407</v>
      </c>
      <c r="P170" s="899">
        <f t="shared" ca="1" si="86"/>
        <v>34.615900254725837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IFERROR(__xludf.DUMMYFUNCTION("IMPORTRANGE(""https://docs.google.com/spreadsheets/d/1MeEWN-I1oV_STSDYn1IFDPWt_1FKiwhDph83XaGc0o0/edit?usp=sharing"",""งบพรบ!CH43"")"),0)</f>
        <v>0</v>
      </c>
      <c r="M173" s="899">
        <f ca="1">IFERROR(__xludf.DUMMYFUNCTION("IMPORTRANGE(""https://docs.google.com/spreadsheets/d/1MeEWN-I1oV_STSDYn1IFDPWt_1FKiwhDph83XaGc0o0/edit?usp=sharing"",""งบพรบ!CK43"")"),0)</f>
        <v>0</v>
      </c>
      <c r="N173" s="899">
        <f ca="1">IFERROR(__xludf.DUMMYFUNCTION("IMPORTRANGE(""https://docs.google.com/spreadsheets/d/1MeEWN-I1oV_STSDYn1IFDPWt_1FKiwhDph83XaGc0o0/edit?usp=sharing"",""งบพรบ!CM43"")"),0)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IFERROR(__xludf.DUMMYFUNCTION("IMPORTRANGE(""https://docs.google.com/spreadsheets/d/1QqKyyYR6Q21VydFLVH3TRQUabQu_ym0Zz7PgGX0-kHA/edit?usp=sharing"",""แผน!Y43"")"),11)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10</v>
      </c>
      <c r="J180" s="1073">
        <f t="shared" si="91"/>
        <v>10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116200</v>
      </c>
      <c r="M181" s="1004">
        <f t="shared" ca="1" si="92"/>
        <v>81500</v>
      </c>
      <c r="N181" s="1004">
        <f t="shared" ca="1" si="92"/>
        <v>69975</v>
      </c>
      <c r="O181" s="1004">
        <f t="shared" ref="O181:O189" ca="1" si="93">IF(L181&gt;0,N181*100/L181,0)</f>
        <v>60.219449225473319</v>
      </c>
      <c r="P181" s="1004">
        <f t="shared" ref="P181:P189" ca="1" si="94">IF(M181&gt;0,N181*100/M181,0)</f>
        <v>85.858895705521476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116200</v>
      </c>
      <c r="M183" s="899">
        <f t="shared" ca="1" si="95"/>
        <v>81500</v>
      </c>
      <c r="N183" s="899">
        <f t="shared" ca="1" si="95"/>
        <v>69975</v>
      </c>
      <c r="O183" s="899">
        <f t="shared" ca="1" si="93"/>
        <v>60.219449225473319</v>
      </c>
      <c r="P183" s="899">
        <f t="shared" ca="1" si="94"/>
        <v>85.858895705521476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116200</v>
      </c>
      <c r="M184" s="893">
        <f t="shared" ca="1" si="96"/>
        <v>81500</v>
      </c>
      <c r="N184" s="893">
        <f t="shared" ca="1" si="96"/>
        <v>69975</v>
      </c>
      <c r="O184" s="893">
        <f t="shared" ca="1" si="93"/>
        <v>60.219449225473319</v>
      </c>
      <c r="P184" s="893">
        <f t="shared" ca="1" si="94"/>
        <v>85.858895705521476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IFERROR(__xludf.DUMMYFUNCTION("IMPORTRANGE(""https://docs.google.com/spreadsheets/d/1MeEWN-I1oV_STSDYn1IFDPWt_1FKiwhDph83XaGc0o0/edit?usp=sharing"",""งบพรบ!CO43"")"),116200)</f>
        <v>116200</v>
      </c>
      <c r="M186" s="899">
        <f ca="1">IFERROR(__xludf.DUMMYFUNCTION("IMPORTRANGE(""https://docs.google.com/spreadsheets/d/1MeEWN-I1oV_STSDYn1IFDPWt_1FKiwhDph83XaGc0o0/edit?usp=sharing"",""งบพรบ!CT43"")"),81500)</f>
        <v>81500</v>
      </c>
      <c r="N186" s="899">
        <f ca="1">IFERROR(__xludf.DUMMYFUNCTION("IMPORTRANGE(""https://docs.google.com/spreadsheets/d/1MeEWN-I1oV_STSDYn1IFDPWt_1FKiwhDph83XaGc0o0/edit?usp=sharing"",""งบพรบ!CV43"")"),69975)</f>
        <v>69975</v>
      </c>
      <c r="O186" s="899">
        <f t="shared" ca="1" si="93"/>
        <v>60.219449225473319</v>
      </c>
      <c r="P186" s="899">
        <f t="shared" ca="1" si="94"/>
        <v>85.858895705521476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IFERROR(__xludf.DUMMYFUNCTION("IMPORTRANGE(""https://docs.google.com/spreadsheets/d/1MeEWN-I1oV_STSDYn1IFDPWt_1FKiwhDph83XaGc0o0/edit?usp=sharing"",""งบพรบ!CR43"")"),0)</f>
        <v>0</v>
      </c>
      <c r="M189" s="899">
        <f ca="1">IFERROR(__xludf.DUMMYFUNCTION("IMPORTRANGE(""https://docs.google.com/spreadsheets/d/1MeEWN-I1oV_STSDYn1IFDPWt_1FKiwhDph83XaGc0o0/edit?usp=sharing"",""งบพรบ!CU43"")"),0)</f>
        <v>0</v>
      </c>
      <c r="N189" s="899">
        <f ca="1">IFERROR(__xludf.DUMMYFUNCTION("IMPORTRANGE(""https://docs.google.com/spreadsheets/d/1MeEWN-I1oV_STSDYn1IFDPWt_1FKiwhDph83XaGc0o0/edit?usp=sharing"",""งบพรบ!CW43"")"),0)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IFERROR(__xludf.DUMMYFUNCTION("IMPORTRANGE(""https://docs.google.com/spreadsheets/d/1QqKyyYR6Q21VydFLVH3TRQUabQu_ym0Zz7PgGX0-kHA/edit?usp=sharing"",""แผน!Z43"")"),6000)</f>
        <v>6000</v>
      </c>
      <c r="M191" s="1004"/>
      <c r="N191" s="1092">
        <v>500</v>
      </c>
      <c r="O191" s="1004">
        <f ca="1">IF(L191&gt;0,N191*100/L191,0)</f>
        <v>8.3333333333333339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IFERROR(__xludf.DUMMYFUNCTION("IMPORTRANGE(""https://docs.google.com/spreadsheets/d/1QqKyyYR6Q21VydFLVH3TRQUabQu_ym0Zz7PgGX0-kHA/edit?usp=sharing"",""แผน!AC43"")"),4)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68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68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2</v>
      </c>
      <c r="J197" s="1089">
        <f t="shared" si="99"/>
        <v>2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31000</v>
      </c>
      <c r="M198" s="1004"/>
      <c r="N198" s="1004">
        <f>N199+N200+N201+N202</f>
        <v>18000</v>
      </c>
      <c r="O198" s="1004">
        <f ca="1">IF(L198&gt;0,N198*100/L198,0)</f>
        <v>58.064516129032256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IFERROR(__xludf.DUMMYFUNCTION("IMPORTRANGE(""https://docs.google.com/spreadsheets/d/1QqKyyYR6Q21VydFLVH3TRQUabQu_ym0Zz7PgGX0-kHA/edit?usp=sharing"",""แผน!AE43"")"),2000)</f>
        <v>2000</v>
      </c>
      <c r="M199" s="893"/>
      <c r="N199" s="1096">
        <v>2000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IFERROR(__xludf.DUMMYFUNCTION("IMPORTRANGE(""https://docs.google.com/spreadsheets/d/1QqKyyYR6Q21VydFLVH3TRQUabQu_ym0Zz7PgGX0-kHA/edit?usp=sharing"",""แผน!AF43"")"),16000)</f>
        <v>16000</v>
      </c>
      <c r="M200" s="893"/>
      <c r="N200" s="1096">
        <v>16000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IFERROR(__xludf.DUMMYFUNCTION("IMPORTRANGE(""https://docs.google.com/spreadsheets/d/1QqKyyYR6Q21VydFLVH3TRQUabQu_ym0Zz7PgGX0-kHA/edit?usp=sharing"",""แผน!AG43"")"),8000)</f>
        <v>8000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IFERROR(__xludf.DUMMYFUNCTION("IMPORTRANGE(""https://docs.google.com/spreadsheets/d/1QqKyyYR6Q21VydFLVH3TRQUabQu_ym0Zz7PgGX0-kHA/edit?usp=sharing"",""แผน!AH43"")"),5000)</f>
        <v>5000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IFERROR(__xludf.DUMMYFUNCTION("IMPORTRANGE(""https://docs.google.com/spreadsheets/d/1QqKyyYR6Q21VydFLVH3TRQUabQu_ym0Zz7PgGX0-kHA/edit?usp=sharing"",""แผน!AI43"")"),2)</f>
        <v>2</v>
      </c>
      <c r="J204" s="1024">
        <v>2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2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1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2</v>
      </c>
      <c r="J208" s="1089">
        <f t="shared" si="101"/>
        <v>2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28000</v>
      </c>
      <c r="M209" s="1004"/>
      <c r="N209" s="1004">
        <f>N210+N211+N212</f>
        <v>17460</v>
      </c>
      <c r="O209" s="1004">
        <f ca="1">IF(L209&gt;0,N209*100/L209,0)</f>
        <v>62.357142857142854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IFERROR(__xludf.DUMMYFUNCTION("IMPORTRANGE(""https://docs.google.com/spreadsheets/d/1QqKyyYR6Q21VydFLVH3TRQUabQu_ym0Zz7PgGX0-kHA/edit?usp=sharing"",""แผน!AK43"")"),2000)</f>
        <v>2000</v>
      </c>
      <c r="M210" s="893"/>
      <c r="N210" s="1096">
        <v>1460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IFERROR(__xludf.DUMMYFUNCTION("IMPORTRANGE(""https://docs.google.com/spreadsheets/d/1QqKyyYR6Q21VydFLVH3TRQUabQu_ym0Zz7PgGX0-kHA/edit?usp=sharing"",""แผน!AL43"")"),10000)</f>
        <v>10000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IFERROR(__xludf.DUMMYFUNCTION("IMPORTRANGE(""https://docs.google.com/spreadsheets/d/1QqKyyYR6Q21VydFLVH3TRQUabQu_ym0Zz7PgGX0-kHA/edit?usp=sharing"",""แผน!AM43"")"),16000)</f>
        <v>16000</v>
      </c>
      <c r="M212" s="893"/>
      <c r="N212" s="1096">
        <v>16000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IFERROR(__xludf.DUMMYFUNCTION("IMPORTRANGE(""https://docs.google.com/spreadsheets/d/1QqKyyYR6Q21VydFLVH3TRQUabQu_ym0Zz7PgGX0-kHA/edit?usp=sharing"",""แผน!AN43"")"),2)</f>
        <v>2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IFERROR(__xludf.DUMMYFUNCTION("IMPORTRANGE(""https://docs.google.com/spreadsheets/d/1QqKyyYR6Q21VydFLVH3TRQUabQu_ym0Zz7PgGX0-kHA/edit?usp=sharing"",""แผน!AN43"")"),2)</f>
        <v>2</v>
      </c>
      <c r="J215" s="1024">
        <v>2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128000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51200</v>
      </c>
      <c r="M217" s="1004"/>
      <c r="N217" s="1004">
        <f>N218+N219+N220</f>
        <v>10000</v>
      </c>
      <c r="O217" s="1004">
        <f ca="1">IF(L217&gt;0,N217*100/L217,0)</f>
        <v>19.53125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IFERROR(__xludf.DUMMYFUNCTION("IMPORTRANGE(""https://docs.google.com/spreadsheets/d/1QqKyyYR6Q21VydFLVH3TRQUabQu_ym0Zz7PgGX0-kHA/edit?usp=sharing"",""แผน!AP43"")"),8000)</f>
        <v>8000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IFERROR(__xludf.DUMMYFUNCTION("IMPORTRANGE(""https://docs.google.com/spreadsheets/d/1QqKyyYR6Q21VydFLVH3TRQUabQu_ym0Zz7PgGX0-kHA/edit?usp=sharing"",""แผน!AQ43"")"),33200)</f>
        <v>33200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IFERROR(__xludf.DUMMYFUNCTION("IMPORTRANGE(""https://docs.google.com/spreadsheets/d/1QqKyyYR6Q21VydFLVH3TRQUabQu_ym0Zz7PgGX0-kHA/edit?usp=sharing"",""แผน!AR43"")"),10000)</f>
        <v>10000</v>
      </c>
      <c r="M220" s="893"/>
      <c r="N220" s="1096">
        <v>10000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IFERROR(__xludf.DUMMYFUNCTION("IMPORTRANGE(""https://docs.google.com/spreadsheets/d/1QqKyyYR6Q21VydFLVH3TRQUabQu_ym0Zz7PgGX0-kHA/edit?usp=sharing"",""แผน!AT43"")"),128000)</f>
        <v>128000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IFERROR(__xludf.DUMMYFUNCTION("IMPORTRANGE(""https://docs.google.com/spreadsheets/d/1QqKyyYR6Q21VydFLVH3TRQUabQu_ym0Zz7PgGX0-kHA/edit?usp=sharing"",""แผน!AT43"")"),128000)</f>
        <v>128000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IFERROR(__xludf.DUMMYFUNCTION("IMPORTRANGE(""https://docs.google.com/spreadsheets/d/1QqKyyYR6Q21VydFLVH3TRQUabQu_ym0Zz7PgGX0-kHA/edit?usp=sharing"",""แผน!AS43"")"),10)</f>
        <v>10</v>
      </c>
      <c r="J225" s="1024">
        <v>10</v>
      </c>
      <c r="K225" s="1010">
        <f t="shared" ca="1" si="104"/>
        <v>100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IFERROR(__xludf.DUMMYFUNCTION("IMPORTRANGE(""https://docs.google.com/spreadsheets/d/1QqKyyYR6Q21VydFLVH3TRQUabQu_ym0Zz7PgGX0-kHA/edit?usp=sharing"",""แผน!AV43"")"),0)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IFERROR(__xludf.DUMMYFUNCTION("IMPORTRANGE(""https://docs.google.com/spreadsheets/d/1QqKyyYR6Q21VydFLVH3TRQUabQu_ym0Zz7PgGX0-kHA/edit?usp=sharing"",""แผน!AW43"")"),0)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IFERROR(__xludf.DUMMYFUNCTION("IMPORTRANGE(""https://docs.google.com/spreadsheets/d/1QqKyyYR6Q21VydFLVH3TRQUabQu_ym0Zz7PgGX0-kHA/edit?usp=sharing"",""แผน!AX43"")"),0)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IFERROR(__xludf.DUMMYFUNCTION("IMPORTRANGE(""https://docs.google.com/spreadsheets/d/1QqKyyYR6Q21VydFLVH3TRQUabQu_ym0Zz7PgGX0-kHA/edit?usp=sharing"",""แผน!AY43"")"),0)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IFERROR(__xludf.DUMMYFUNCTION("IMPORTRANGE(""https://docs.google.com/spreadsheets/d/1QqKyyYR6Q21VydFLVH3TRQUabQu_ym0Zz7PgGX0-kHA/edit?usp=sharing"",""แผน!BE43"")"),0)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IFERROR(__xludf.DUMMYFUNCTION("IMPORTRANGE(""https://docs.google.com/spreadsheets/d/1QqKyyYR6Q21VydFLVH3TRQUabQu_ym0Zz7PgGX0-kHA/edit?usp=sharing"",""แผน!AZ43"")"),0)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IFERROR(__xludf.DUMMYFUNCTION("IMPORTRANGE(""https://docs.google.com/spreadsheets/d/1QqKyyYR6Q21VydFLVH3TRQUabQu_ym0Zz7PgGX0-kHA/edit?usp=sharing"",""แผน!BA43"")"),0)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IFERROR(__xludf.DUMMYFUNCTION("IMPORTRANGE(""https://docs.google.com/spreadsheets/d/1QqKyyYR6Q21VydFLVH3TRQUabQu_ym0Zz7PgGX0-kHA/edit?usp=sharing"",""แผน!BB43"")"),0)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IFERROR(__xludf.DUMMYFUNCTION("IMPORTRANGE(""https://docs.google.com/spreadsheets/d/1QqKyyYR6Q21VydFLVH3TRQUabQu_ym0Zz7PgGX0-kHA/edit?usp=sharing"",""แผน!BC43"")"),0)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IFERROR(__xludf.DUMMYFUNCTION("IMPORTRANGE(""https://docs.google.com/spreadsheets/d/1QqKyyYR6Q21VydFLVH3TRQUabQu_ym0Zz7PgGX0-kHA/edit?usp=sharing"",""แผน!BF43"")"),0)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23466</v>
      </c>
      <c r="O261" s="1004">
        <f t="shared" ref="O261:O269" ca="1" si="117">IF(L261&gt;0,N261*100/L261,0)</f>
        <v>87.234200743494426</v>
      </c>
      <c r="P261" s="1004">
        <f t="shared" ref="P261:P269" ca="1" si="118">IF(M261&gt;0,N261*100/M261,0)</f>
        <v>98.18410041841004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23466</v>
      </c>
      <c r="O263" s="899">
        <f t="shared" ca="1" si="117"/>
        <v>87.234200743494426</v>
      </c>
      <c r="P263" s="899">
        <f t="shared" ca="1" si="118"/>
        <v>98.18410041841004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23466</v>
      </c>
      <c r="O264" s="893">
        <f t="shared" ca="1" si="117"/>
        <v>87.234200743494426</v>
      </c>
      <c r="P264" s="893">
        <f t="shared" ca="1" si="118"/>
        <v>98.18410041841004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IFERROR(__xludf.DUMMYFUNCTION("IMPORTRANGE(""https://docs.google.com/spreadsheets/d/1MeEWN-I1oV_STSDYn1IFDPWt_1FKiwhDph83XaGc0o0/edit?usp=sharing"",""งบพรบ!CY43"")"),26900)</f>
        <v>26900</v>
      </c>
      <c r="M266" s="899">
        <f ca="1">IFERROR(__xludf.DUMMYFUNCTION("IMPORTRANGE(""https://docs.google.com/spreadsheets/d/1MeEWN-I1oV_STSDYn1IFDPWt_1FKiwhDph83XaGc0o0/edit?usp=sharing"",""งบพรบ!DD43"")"),23900)</f>
        <v>23900</v>
      </c>
      <c r="N266" s="899">
        <f ca="1">IFERROR(__xludf.DUMMYFUNCTION("IMPORTRANGE(""https://docs.google.com/spreadsheets/d/1MeEWN-I1oV_STSDYn1IFDPWt_1FKiwhDph83XaGc0o0/edit?usp=sharing"",""งบพรบ!DF43"")"),23466)</f>
        <v>23466</v>
      </c>
      <c r="O266" s="899">
        <f t="shared" ca="1" si="117"/>
        <v>87.234200743494426</v>
      </c>
      <c r="P266" s="899">
        <f t="shared" ca="1" si="118"/>
        <v>98.18410041841004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IFERROR(__xludf.DUMMYFUNCTION("IMPORTRANGE(""https://docs.google.com/spreadsheets/d/1MeEWN-I1oV_STSDYn1IFDPWt_1FKiwhDph83XaGc0o0/edit?usp=sharing"",""งบพรบ!DB43"")"),0)</f>
        <v>0</v>
      </c>
      <c r="M269" s="899">
        <f ca="1">IFERROR(__xludf.DUMMYFUNCTION("IMPORTRANGE(""https://docs.google.com/spreadsheets/d/1MeEWN-I1oV_STSDYn1IFDPWt_1FKiwhDph83XaGc0o0/edit?usp=sharing"",""งบพรบ!DE43"")"),0)</f>
        <v>0</v>
      </c>
      <c r="N269" s="899">
        <f ca="1">IFERROR(__xludf.DUMMYFUNCTION("IMPORTRANGE(""https://docs.google.com/spreadsheets/d/1MeEWN-I1oV_STSDYn1IFDPWt_1FKiwhDph83XaGc0o0/edit?usp=sharing"",""งบพรบ!DG43"")"),0)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IFERROR(__xludf.DUMMYFUNCTION("IMPORTRANGE(""https://docs.google.com/spreadsheets/d/1QqKyyYR6Q21VydFLVH3TRQUabQu_ym0Zz7PgGX0-kHA/edit?usp=sharing"",""แผน!EA43"")"),22)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20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200</v>
      </c>
      <c r="J276" s="1173">
        <f t="shared" si="124"/>
        <v>200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75640</v>
      </c>
      <c r="M277" s="1004">
        <f t="shared" ca="1" si="125"/>
        <v>37520</v>
      </c>
      <c r="N277" s="1004">
        <f t="shared" ca="1" si="125"/>
        <v>34970</v>
      </c>
      <c r="O277" s="1004">
        <f t="shared" ref="O277:O285" ca="1" si="126">IF(L277&gt;0,N277*100/L277,0)</f>
        <v>46.232152300370174</v>
      </c>
      <c r="P277" s="1004">
        <f t="shared" ref="P277:P285" ca="1" si="127">IF(M277&gt;0,N277*100/M277,0)</f>
        <v>93.203624733475479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75640</v>
      </c>
      <c r="M279" s="899">
        <f t="shared" ca="1" si="128"/>
        <v>37520</v>
      </c>
      <c r="N279" s="899">
        <f t="shared" ca="1" si="128"/>
        <v>34970</v>
      </c>
      <c r="O279" s="899">
        <f t="shared" ca="1" si="126"/>
        <v>46.232152300370174</v>
      </c>
      <c r="P279" s="899">
        <f t="shared" ca="1" si="127"/>
        <v>93.203624733475479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75640</v>
      </c>
      <c r="M280" s="893">
        <f t="shared" ca="1" si="129"/>
        <v>37520</v>
      </c>
      <c r="N280" s="893">
        <f t="shared" ca="1" si="129"/>
        <v>34970</v>
      </c>
      <c r="O280" s="893">
        <f t="shared" ca="1" si="126"/>
        <v>46.232152300370174</v>
      </c>
      <c r="P280" s="893">
        <f t="shared" ca="1" si="127"/>
        <v>93.203624733475479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IFERROR(__xludf.DUMMYFUNCTION("IMPORTRANGE(""https://docs.google.com/spreadsheets/d/1MeEWN-I1oV_STSDYn1IFDPWt_1FKiwhDph83XaGc0o0/edit?usp=sharing"",""งบพรบ!DI43"")"),75640)</f>
        <v>75640</v>
      </c>
      <c r="M282" s="899">
        <f ca="1">IFERROR(__xludf.DUMMYFUNCTION("IMPORTRANGE(""https://docs.google.com/spreadsheets/d/1MeEWN-I1oV_STSDYn1IFDPWt_1FKiwhDph83XaGc0o0/edit?usp=sharing"",""งบพรบ!DN43"")"),37520)</f>
        <v>37520</v>
      </c>
      <c r="N282" s="899">
        <f ca="1">IFERROR(__xludf.DUMMYFUNCTION("IMPORTRANGE(""https://docs.google.com/spreadsheets/d/1MeEWN-I1oV_STSDYn1IFDPWt_1FKiwhDph83XaGc0o0/edit?usp=sharing"",""งบพรบ!DP43"")"),34970)</f>
        <v>34970</v>
      </c>
      <c r="O282" s="899">
        <f t="shared" ca="1" si="126"/>
        <v>46.232152300370174</v>
      </c>
      <c r="P282" s="899">
        <f t="shared" ca="1" si="127"/>
        <v>93.203624733475479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IFERROR(__xludf.DUMMYFUNCTION("IMPORTRANGE(""https://docs.google.com/spreadsheets/d/1MeEWN-I1oV_STSDYn1IFDPWt_1FKiwhDph83XaGc0o0/edit?usp=sharing"",""งบพรบ!DL43"")"),0)</f>
        <v>0</v>
      </c>
      <c r="M285" s="899">
        <f ca="1">IFERROR(__xludf.DUMMYFUNCTION("IMPORTRANGE(""https://docs.google.com/spreadsheets/d/1MeEWN-I1oV_STSDYn1IFDPWt_1FKiwhDph83XaGc0o0/edit?usp=sharing"",""งบพรบ!DO43"")"),0)</f>
        <v>0</v>
      </c>
      <c r="N285" s="899">
        <f ca="1">IFERROR(__xludf.DUMMYFUNCTION("IMPORTRANGE(""https://docs.google.com/spreadsheets/d/1MeEWN-I1oV_STSDYn1IFDPWt_1FKiwhDph83XaGc0o0/edit?usp=sharing"",""งบพรบ!DQ43"")"),0)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IFERROR(__xludf.DUMMYFUNCTION("IMPORTRANGE(""https://docs.google.com/spreadsheets/d/1QqKyyYR6Q21VydFLVH3TRQUabQu_ym0Zz7PgGX0-kHA/edit?usp=sharing"",""แผน!EC43"")"),200)</f>
        <v>200</v>
      </c>
      <c r="J287" s="1024">
        <v>200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IFERROR(__xludf.DUMMYFUNCTION("IMPORTRANGE(""https://docs.google.com/spreadsheets/d/1QqKyyYR6Q21VydFLVH3TRQUabQu_ym0Zz7PgGX0-kHA/edit?usp=sharing"",""แผน!EB43"")"),20)</f>
        <v>20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IFERROR(__xludf.DUMMYFUNCTION("IMPORTRANGE(""https://docs.google.com/spreadsheets/d/1QqKyyYR6Q21VydFLVH3TRQUabQu_ym0Zz7PgGX0-kHA/edit?usp=sharing"",""แผน!EB43"")"),20)</f>
        <v>20</v>
      </c>
      <c r="J290" s="1024">
        <v>20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IFERROR(__xludf.DUMMYFUNCTION("IMPORTRANGE(""https://docs.google.com/spreadsheets/d/1QqKyyYR6Q21VydFLVH3TRQUabQu_ym0Zz7PgGX0-kHA/edit?usp=sharing"",""แผน!EB43"")"),20)</f>
        <v>20</v>
      </c>
      <c r="J291" s="1024">
        <v>20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IFERROR(__xludf.DUMMYFUNCTION("IMPORTRANGE(""https://docs.google.com/spreadsheets/d/1QqKyyYR6Q21VydFLVH3TRQUabQu_ym0Zz7PgGX0-kHA/edit?usp=sharing"",""แผน!EB43"")"),20)</f>
        <v>20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IFERROR(__xludf.DUMMYFUNCTION("IMPORTRANGE(""https://docs.google.com/spreadsheets/d/1QqKyyYR6Q21VydFLVH3TRQUabQu_ym0Zz7PgGX0-kHA/edit?usp=sharing"",""แผน!EB43"")"),20)</f>
        <v>20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IFERROR(__xludf.DUMMYFUNCTION("IMPORTRANGE(""https://docs.google.com/spreadsheets/d/1MeEWN-I1oV_STSDYn1IFDPWt_1FKiwhDph83XaGc0o0/edit?usp=sharing"",""งบพรบ!DS43"")"),0)</f>
        <v>0</v>
      </c>
      <c r="M303" s="899">
        <f ca="1">IFERROR(__xludf.DUMMYFUNCTION("IMPORTRANGE(""https://docs.google.com/spreadsheets/d/1MeEWN-I1oV_STSDYn1IFDPWt_1FKiwhDph83XaGc0o0/edit?usp=sharing"",""งบพรบ!DX43"")"),0)</f>
        <v>0</v>
      </c>
      <c r="N303" s="899">
        <f ca="1">IFERROR(__xludf.DUMMYFUNCTION("IMPORTRANGE(""https://docs.google.com/spreadsheets/d/1MeEWN-I1oV_STSDYn1IFDPWt_1FKiwhDph83XaGc0o0/edit?usp=sharing"",""งบพรบ!DZ43"")"),0)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IFERROR(__xludf.DUMMYFUNCTION("IMPORTRANGE(""https://docs.google.com/spreadsheets/d/1MeEWN-I1oV_STSDYn1IFDPWt_1FKiwhDph83XaGc0o0/edit?usp=sharing"",""งบพรบ!DV43"")"),0)</f>
        <v>0</v>
      </c>
      <c r="M306" s="899">
        <f ca="1">IFERROR(__xludf.DUMMYFUNCTION("IMPORTRANGE(""https://docs.google.com/spreadsheets/d/1MeEWN-I1oV_STSDYn1IFDPWt_1FKiwhDph83XaGc0o0/edit?usp=sharing"",""งบพรบ!DY43"")"),0)</f>
        <v>0</v>
      </c>
      <c r="N306" s="899">
        <f ca="1">IFERROR(__xludf.DUMMYFUNCTION("IMPORTRANGE(""https://docs.google.com/spreadsheets/d/1MeEWN-I1oV_STSDYn1IFDPWt_1FKiwhDph83XaGc0o0/edit?usp=sharing"",""งบพรบ!EA43"")"),0)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IFERROR(__xludf.DUMMYFUNCTION("IMPORTRANGE(""https://docs.google.com/spreadsheets/d/1QqKyyYR6Q21VydFLVH3TRQUabQu_ym0Zz7PgGX0-kHA/edit?usp=sharing"",""แผน!ED43"")"),0)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IFERROR(__xludf.DUMMYFUNCTION("IMPORTRANGE(""https://docs.google.com/spreadsheets/d/1QqKyyYR6Q21VydFLVH3TRQUabQu_ym0Zz7PgGX0-kHA/edit?usp=sharing"",""แผน!ED43"")"),0)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IFERROR(__xludf.DUMMYFUNCTION("IMPORTRANGE(""https://docs.google.com/spreadsheets/d/1QqKyyYR6Q21VydFLVH3TRQUabQu_ym0Zz7PgGX0-kHA/edit?usp=sharing"",""แผน!ED43"")"),0)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IFERROR(__xludf.DUMMYFUNCTION("IMPORTRANGE(""https://docs.google.com/spreadsheets/d/1QqKyyYR6Q21VydFLVH3TRQUabQu_ym0Zz7PgGX0-kHA/edit?usp=sharing"",""แผน!EE43"")"),0)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IFERROR(__xludf.DUMMYFUNCTION("IMPORTRANGE(""https://docs.google.com/spreadsheets/d/1MeEWN-I1oV_STSDYn1IFDPWt_1FKiwhDph83XaGc0o0/edit?usp=sharing"",""งบพรบ!EC43"")"),0)</f>
        <v>0</v>
      </c>
      <c r="M320" s="899">
        <f ca="1">IFERROR(__xludf.DUMMYFUNCTION("IMPORTRANGE(""https://docs.google.com/spreadsheets/d/1MeEWN-I1oV_STSDYn1IFDPWt_1FKiwhDph83XaGc0o0/edit?usp=sharing"",""งบพรบ!EH43"")"),0)</f>
        <v>0</v>
      </c>
      <c r="N320" s="899">
        <f ca="1">IFERROR(__xludf.DUMMYFUNCTION("IMPORTRANGE(""https://docs.google.com/spreadsheets/d/1MeEWN-I1oV_STSDYn1IFDPWt_1FKiwhDph83XaGc0o0/edit?usp=sharing"",""งบพรบ!EJ43"")"),0)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IFERROR(__xludf.DUMMYFUNCTION("IMPORTRANGE(""https://docs.google.com/spreadsheets/d/1MeEWN-I1oV_STSDYn1IFDPWt_1FKiwhDph83XaGc0o0/edit?usp=sharing"",""งบพรบ!EF43"")"),0)</f>
        <v>0</v>
      </c>
      <c r="M323" s="899">
        <f ca="1">IFERROR(__xludf.DUMMYFUNCTION("IMPORTRANGE(""https://docs.google.com/spreadsheets/d/1MeEWN-I1oV_STSDYn1IFDPWt_1FKiwhDph83XaGc0o0/edit?usp=sharing"",""งบพรบ!EI43"")"),0)</f>
        <v>0</v>
      </c>
      <c r="N323" s="899">
        <f ca="1">IFERROR(__xludf.DUMMYFUNCTION("IMPORTRANGE(""https://docs.google.com/spreadsheets/d/1MeEWN-I1oV_STSDYn1IFDPWt_1FKiwhDph83XaGc0o0/edit?usp=sharing"",""งบพรบ!EK43"")"),0)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IFERROR(__xludf.DUMMYFUNCTION("IMPORTRANGE(""https://docs.google.com/spreadsheets/d/1QqKyyYR6Q21VydFLVH3TRQUabQu_ym0Zz7PgGX0-kHA/edit?usp=sharing"",""แผน!EF43"")"),0)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IFERROR(__xludf.DUMMYFUNCTION("IMPORTRANGE(""https://docs.google.com/spreadsheets/d/1QqKyyYR6Q21VydFLVH3TRQUabQu_ym0Zz7PgGX0-kHA/edit?usp=sharing"",""แผน!EG43"")"),3800)</f>
        <v>3800</v>
      </c>
      <c r="J327" s="1202">
        <f ca="1">J338+J341+J342+J343</f>
        <v>3236</v>
      </c>
      <c r="K327" s="1203">
        <f ca="1">IF(I327&gt;0,J327*100/I327,0)</f>
        <v>85.15789473684211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177000</v>
      </c>
      <c r="M328" s="1004">
        <f t="shared" ca="1" si="149"/>
        <v>135250</v>
      </c>
      <c r="N328" s="1004">
        <f t="shared" ca="1" si="149"/>
        <v>78947</v>
      </c>
      <c r="O328" s="1004">
        <f t="shared" ref="O328:O336" ca="1" si="150">IF(L328&gt;0,N328*100/L328,0)</f>
        <v>44.60282485875706</v>
      </c>
      <c r="P328" s="1004">
        <f t="shared" ref="P328:P336" ca="1" si="151">IF(M328&gt;0,N328*100/M328,0)</f>
        <v>58.371164510166359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177000</v>
      </c>
      <c r="M330" s="899">
        <f t="shared" ca="1" si="152"/>
        <v>135250</v>
      </c>
      <c r="N330" s="899">
        <f t="shared" ca="1" si="152"/>
        <v>78947</v>
      </c>
      <c r="O330" s="899">
        <f t="shared" ca="1" si="150"/>
        <v>44.60282485875706</v>
      </c>
      <c r="P330" s="899">
        <f t="shared" ca="1" si="151"/>
        <v>58.371164510166359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177000</v>
      </c>
      <c r="M331" s="893">
        <f t="shared" ca="1" si="153"/>
        <v>135250</v>
      </c>
      <c r="N331" s="893">
        <f t="shared" ca="1" si="153"/>
        <v>78947</v>
      </c>
      <c r="O331" s="893">
        <f t="shared" ca="1" si="150"/>
        <v>44.60282485875706</v>
      </c>
      <c r="P331" s="893">
        <f t="shared" ca="1" si="151"/>
        <v>58.371164510166359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IFERROR(__xludf.DUMMYFUNCTION("IMPORTRANGE(""https://docs.google.com/spreadsheets/d/1MeEWN-I1oV_STSDYn1IFDPWt_1FKiwhDph83XaGc0o0/edit?usp=sharing"",""งบพรบ!EM43"")"),177000)</f>
        <v>177000</v>
      </c>
      <c r="M333" s="899">
        <f ca="1">IFERROR(__xludf.DUMMYFUNCTION("IMPORTRANGE(""https://docs.google.com/spreadsheets/d/1MeEWN-I1oV_STSDYn1IFDPWt_1FKiwhDph83XaGc0o0/edit?usp=sharing"",""งบพรบ!ER43"")"),135250)</f>
        <v>135250</v>
      </c>
      <c r="N333" s="899">
        <f ca="1">IFERROR(__xludf.DUMMYFUNCTION("IMPORTRANGE(""https://docs.google.com/spreadsheets/d/1MeEWN-I1oV_STSDYn1IFDPWt_1FKiwhDph83XaGc0o0/edit?usp=sharing"",""งบพรบ!ET43"")"),78947)</f>
        <v>78947</v>
      </c>
      <c r="O333" s="899">
        <f t="shared" ca="1" si="150"/>
        <v>44.60282485875706</v>
      </c>
      <c r="P333" s="899">
        <f t="shared" ca="1" si="151"/>
        <v>58.371164510166359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IFERROR(__xludf.DUMMYFUNCTION("IMPORTRANGE(""https://docs.google.com/spreadsheets/d/1MeEWN-I1oV_STSDYn1IFDPWt_1FKiwhDph83XaGc0o0/edit?usp=sharing"",""งบพรบ!EP43"")"),0)</f>
        <v>0</v>
      </c>
      <c r="M336" s="899">
        <f ca="1">IFERROR(__xludf.DUMMYFUNCTION("IMPORTRANGE(""https://docs.google.com/spreadsheets/d/1MeEWN-I1oV_STSDYn1IFDPWt_1FKiwhDph83XaGc0o0/edit?usp=sharing"",""งบพรบ!ES43"")"),0)</f>
        <v>0</v>
      </c>
      <c r="N336" s="899">
        <f ca="1">IFERROR(__xludf.DUMMYFUNCTION("IMPORTRANGE(""https://docs.google.com/spreadsheets/d/1MeEWN-I1oV_STSDYn1IFDPWt_1FKiwhDph83XaGc0o0/edit?usp=sharing"",""งบพรบ!EU43"")"),0)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IFERROR(__xludf.DUMMYFUNCTION("IMPORTRANGE(""https://docs.google.com/spreadsheets/d/1QqKyyYR6Q21VydFLVH3TRQUabQu_ym0Zz7PgGX0-kHA/edit?usp=sharing"",""แผน!EG43"")"),3800)</f>
        <v>3800</v>
      </c>
      <c r="J338" s="892">
        <f ca="1">IFERROR(__xludf.DUMMYFUNCTION("IMPORTRANGE(""https://docs.google.com/spreadsheets/d/1kVcqe37tkHyjCSG3S0O1AXqVkqjo8mSIZil3BcpIysc/edit?usp=sharing"",""ศูนย์!D43"")"),2732)</f>
        <v>2732</v>
      </c>
      <c r="K338" s="893">
        <f ca="1">IF(I338&gt;0,J338*100/I338,0)</f>
        <v>71.89473684210526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IFERROR(__xludf.DUMMYFUNCTION("IMPORTRANGE(""https://docs.google.com/spreadsheets/d/1QqKyyYR6Q21VydFLVH3TRQUabQu_ym0Zz7PgGX0-kHA/edit?usp=sharing"",""แผน!EH43"")"),7)</f>
        <v>7</v>
      </c>
      <c r="J340" s="892">
        <f ca="1">IFERROR(__xludf.DUMMYFUNCTION("IMPORTRANGE(""https://docs.google.com/spreadsheets/d/1kVcqe37tkHyjCSG3S0O1AXqVkqjo8mSIZil3BcpIysc/edit?usp=sharing"",""ศูนย์!E43"")"),4)</f>
        <v>4</v>
      </c>
      <c r="K340" s="893">
        <f ca="1">IF(I340&gt;0,J340*100/I340,0)</f>
        <v>57.142857142857146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IFERROR(__xludf.DUMMYFUNCTION("IMPORTRANGE(""https://docs.google.com/spreadsheets/d/1kVcqe37tkHyjCSG3S0O1AXqVkqjo8mSIZil3BcpIysc/edit?usp=sharing"",""ศูนย์!F43"")"),387)</f>
        <v>387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IFERROR(__xludf.DUMMYFUNCTION("IMPORTRANGE(""https://docs.google.com/spreadsheets/d/1kVcqe37tkHyjCSG3S0O1AXqVkqjo8mSIZil3BcpIysc/edit?usp=sharing"",""ศูนย์!G43"")"),0)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IFERROR(__xludf.DUMMYFUNCTION("IMPORTRANGE(""https://docs.google.com/spreadsheets/d/1kVcqe37tkHyjCSG3S0O1AXqVkqjo8mSIZil3BcpIysc/edit?usp=sharing"",""ศูนย์!H43"")"),117)</f>
        <v>117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1476480</v>
      </c>
      <c r="M345" s="1004">
        <f t="shared" ca="1" si="155"/>
        <v>1294760</v>
      </c>
      <c r="N345" s="1004">
        <f t="shared" ca="1" si="155"/>
        <v>827124</v>
      </c>
      <c r="O345" s="1004">
        <f t="shared" ref="O345:O353" ca="1" si="156">IF(L345&gt;0,N345*100/L345,0)</f>
        <v>56.019993498049416</v>
      </c>
      <c r="P345" s="1004">
        <f t="shared" ref="P345:P353" ca="1" si="157">IF(M345&gt;0,N345*100/M345,0)</f>
        <v>63.882418363248789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1476480</v>
      </c>
      <c r="M347" s="899">
        <f t="shared" ca="1" si="158"/>
        <v>1294760</v>
      </c>
      <c r="N347" s="899">
        <f t="shared" ca="1" si="158"/>
        <v>827124</v>
      </c>
      <c r="O347" s="899">
        <f t="shared" ca="1" si="156"/>
        <v>56.019993498049416</v>
      </c>
      <c r="P347" s="899">
        <f t="shared" ca="1" si="157"/>
        <v>63.882418363248789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1416480</v>
      </c>
      <c r="M348" s="893">
        <f t="shared" ca="1" si="159"/>
        <v>1234760</v>
      </c>
      <c r="N348" s="893">
        <f t="shared" ca="1" si="159"/>
        <v>767124</v>
      </c>
      <c r="O348" s="893">
        <f t="shared" ca="1" si="156"/>
        <v>54.157065401558796</v>
      </c>
      <c r="P348" s="893">
        <f t="shared" ca="1" si="157"/>
        <v>62.127376980141889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IFERROR(__xludf.DUMMYFUNCTION("IMPORTRANGE(""https://docs.google.com/spreadsheets/d/1MeEWN-I1oV_STSDYn1IFDPWt_1FKiwhDph83XaGc0o0/edit?usp=sharing"",""งบพรบ!EW43"")"),1416480)</f>
        <v>1416480</v>
      </c>
      <c r="M350" s="899">
        <f ca="1">IFERROR(__xludf.DUMMYFUNCTION("IMPORTRANGE(""https://docs.google.com/spreadsheets/d/1MeEWN-I1oV_STSDYn1IFDPWt_1FKiwhDph83XaGc0o0/edit?usp=sharing"",""งบพรบ!FB43"")"),1234760)</f>
        <v>1234760</v>
      </c>
      <c r="N350" s="899">
        <f ca="1">IFERROR(__xludf.DUMMYFUNCTION("IMPORTRANGE(""https://docs.google.com/spreadsheets/d/1MeEWN-I1oV_STSDYn1IFDPWt_1FKiwhDph83XaGc0o0/edit?usp=sharing"",""งบพรบ!FD43"")"),767124)</f>
        <v>767124</v>
      </c>
      <c r="O350" s="899">
        <f t="shared" ca="1" si="156"/>
        <v>54.157065401558796</v>
      </c>
      <c r="P350" s="899">
        <f t="shared" ca="1" si="157"/>
        <v>62.127376980141889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60000</v>
      </c>
      <c r="M351" s="893">
        <f t="shared" ca="1" si="160"/>
        <v>60000</v>
      </c>
      <c r="N351" s="893">
        <f t="shared" ca="1" si="160"/>
        <v>60000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IFERROR(__xludf.DUMMYFUNCTION("IMPORTRANGE(""https://docs.google.com/spreadsheets/d/1MeEWN-I1oV_STSDYn1IFDPWt_1FKiwhDph83XaGc0o0/edit?usp=sharing"",""งบพรบ!EZ43"")"),60000)</f>
        <v>60000</v>
      </c>
      <c r="M353" s="899">
        <f ca="1">IFERROR(__xludf.DUMMYFUNCTION("IMPORTRANGE(""https://docs.google.com/spreadsheets/d/1MeEWN-I1oV_STSDYn1IFDPWt_1FKiwhDph83XaGc0o0/edit?usp=sharing"",""งบพรบ!FC43"")"),60000)</f>
        <v>60000</v>
      </c>
      <c r="N353" s="899">
        <f ca="1">IFERROR(__xludf.DUMMYFUNCTION("IMPORTRANGE(""https://docs.google.com/spreadsheets/d/1MeEWN-I1oV_STSDYn1IFDPWt_1FKiwhDph83XaGc0o0/edit?usp=sharing"",""งบพรบ!FE43"")"),60000)</f>
        <v>60000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IFERROR(__xludf.DUMMYFUNCTION("IMPORTRANGE(""https://docs.google.com/spreadsheets/d/1QqKyyYR6Q21VydFLVH3TRQUabQu_ym0Zz7PgGX0-kHA/edit?usp=sharing"",""แผน!EP43"")"),755)</f>
        <v>755</v>
      </c>
      <c r="J355" s="1218">
        <f ca="1">J362</f>
        <v>360</v>
      </c>
      <c r="K355" s="1219">
        <f ca="1">IF(I355&gt;0,J355*100/I355,0)</f>
        <v>47.682119205298015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IFERROR(__xludf.DUMMYFUNCTION("IMPORTRANGE(""https://docs.google.com/spreadsheets/d/1XWAQStnk-4SwqDmLtmXYiTMKHgktTP8We1SCoS47DrQ/edit?usp=sharing"",""จัดที่ดิน!W43"")"),458)</f>
        <v>458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IFERROR(__xludf.DUMMYFUNCTION("IMPORTRANGE(""https://docs.google.com/spreadsheets/d/1QqKyyYR6Q21VydFLVH3TRQUabQu_ym0Zz7PgGX0-kHA/edit?usp=sharing"",""แผน!EO43"")"),7550)</f>
        <v>7550</v>
      </c>
      <c r="J359" s="892">
        <f ca="1">IFERROR(__xludf.DUMMYFUNCTION("IMPORTRANGE(""https://docs.google.com/spreadsheets/d/1XWAQStnk-4SwqDmLtmXYiTMKHgktTP8We1SCoS47DrQ/edit?usp=sharing"",""จัดที่ดิน!X43"")"),4010.85)</f>
        <v>4010.85</v>
      </c>
      <c r="K359" s="893">
        <f t="shared" ca="1" si="161"/>
        <v>53.123841059602647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IFERROR(__xludf.DUMMYFUNCTION("IMPORTRANGE(""https://docs.google.com/spreadsheets/d/1QqKyyYR6Q21VydFLVH3TRQUabQu_ym0Zz7PgGX0-kHA/edit?usp=sharing"",""แผน!EP43"")"),755)</f>
        <v>755</v>
      </c>
      <c r="J360" s="892">
        <f ca="1">IFERROR(__xludf.DUMMYFUNCTION("IMPORTRANGE(""https://docs.google.com/spreadsheets/d/1XWAQStnk-4SwqDmLtmXYiTMKHgktTP8We1SCoS47DrQ/edit?usp=sharing"",""จัดที่ดิน!Y43"")"),360)</f>
        <v>360</v>
      </c>
      <c r="K360" s="893">
        <f t="shared" ca="1" si="161"/>
        <v>47.682119205298015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IFERROR(__xludf.DUMMYFUNCTION("IMPORTRANGE(""https://docs.google.com/spreadsheets/d/1XWAQStnk-4SwqDmLtmXYiTMKHgktTP8We1SCoS47DrQ/edit?usp=sharing"",""จัดที่ดิน!Z43"")"),3068.43)</f>
        <v>3068.43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IFERROR(__xludf.DUMMYFUNCTION("IMPORTRANGE(""https://docs.google.com/spreadsheets/d/1QqKyyYR6Q21VydFLVH3TRQUabQu_ym0Zz7PgGX0-kHA/edit?usp=sharing"",""แผน!EP43"")"),755)</f>
        <v>755</v>
      </c>
      <c r="J362" s="892">
        <f ca="1">IFERROR(__xludf.DUMMYFUNCTION("IMPORTRANGE(""https://docs.google.com/spreadsheets/d/1XWAQStnk-4SwqDmLtmXYiTMKHgktTP8We1SCoS47DrQ/edit?usp=sharing"",""จัดที่ดิน!AA43"")"),360)</f>
        <v>360</v>
      </c>
      <c r="K362" s="893">
        <f t="shared" ca="1" si="161"/>
        <v>47.682119205298015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IFERROR(__xludf.DUMMYFUNCTION("IMPORTRANGE(""https://docs.google.com/spreadsheets/d/1XWAQStnk-4SwqDmLtmXYiTMKHgktTP8We1SCoS47DrQ/edit?usp=sharing"",""จัดที่ดิน!AB43"")"),3061.16)</f>
        <v>3061.16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1155</v>
      </c>
      <c r="J364" s="1231">
        <f t="shared" ca="1" si="162"/>
        <v>727</v>
      </c>
      <c r="K364" s="1232">
        <f t="shared" ca="1" si="161"/>
        <v>62.943722943722946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IFERROR(__xludf.DUMMYFUNCTION("IMPORTRANGE(""https://docs.google.com/spreadsheets/d/1QqKyyYR6Q21VydFLVH3TRQUabQu_ym0Zz7PgGX0-kHA/edit?usp=sharing"",""แผน!EJ43"")"),355)</f>
        <v>355</v>
      </c>
      <c r="J365" s="1239">
        <f ca="1">J372</f>
        <v>105</v>
      </c>
      <c r="K365" s="1240">
        <f t="shared" ca="1" si="161"/>
        <v>29.577464788732396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IFERROR(__xludf.DUMMYFUNCTION("IMPORTRANGE(""https://docs.google.com/spreadsheets/d/1XWAQStnk-4SwqDmLtmXYiTMKHgktTP8We1SCoS47DrQ/edit?usp=sharing"",""จัดที่ดิน!E43"")"),98)</f>
        <v>98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IFERROR(__xludf.DUMMYFUNCTION("IMPORTRANGE(""https://docs.google.com/spreadsheets/d/1QqKyyYR6Q21VydFLVH3TRQUabQu_ym0Zz7PgGX0-kHA/edit?usp=sharing"",""แผน!EI43"")"),3550)</f>
        <v>3550</v>
      </c>
      <c r="J369" s="892">
        <f ca="1">IFERROR(__xludf.DUMMYFUNCTION("IMPORTRANGE(""https://docs.google.com/spreadsheets/d/1XWAQStnk-4SwqDmLtmXYiTMKHgktTP8We1SCoS47DrQ/edit?usp=sharing"",""จัดที่ดิน!F43"")"),648.2)</f>
        <v>648.20000000000005</v>
      </c>
      <c r="K369" s="893">
        <f t="shared" ca="1" si="163"/>
        <v>18.259154929577466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IFERROR(__xludf.DUMMYFUNCTION("IMPORTRANGE(""https://docs.google.com/spreadsheets/d/1QqKyyYR6Q21VydFLVH3TRQUabQu_ym0Zz7PgGX0-kHA/edit?usp=sharing"",""แผน!EJ43"")"),355)</f>
        <v>355</v>
      </c>
      <c r="J370" s="892">
        <f ca="1">IFERROR(__xludf.DUMMYFUNCTION("IMPORTRANGE(""https://docs.google.com/spreadsheets/d/1XWAQStnk-4SwqDmLtmXYiTMKHgktTP8We1SCoS47DrQ/edit?usp=sharing"",""จัดที่ดิน!G43"")"),106)</f>
        <v>106</v>
      </c>
      <c r="K370" s="893">
        <f t="shared" ca="1" si="163"/>
        <v>29.859154929577464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IFERROR(__xludf.DUMMYFUNCTION("IMPORTRANGE(""https://docs.google.com/spreadsheets/d/1XWAQStnk-4SwqDmLtmXYiTMKHgktTP8We1SCoS47DrQ/edit?usp=sharing"",""จัดที่ดิน!H43"")"),750.31)</f>
        <v>750.31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IFERROR(__xludf.DUMMYFUNCTION("IMPORTRANGE(""https://docs.google.com/spreadsheets/d/1QqKyyYR6Q21VydFLVH3TRQUabQu_ym0Zz7PgGX0-kHA/edit?usp=sharing"",""แผน!EJ43"")"),355)</f>
        <v>355</v>
      </c>
      <c r="J372" s="892">
        <f ca="1">IFERROR(__xludf.DUMMYFUNCTION("IMPORTRANGE(""https://docs.google.com/spreadsheets/d/1XWAQStnk-4SwqDmLtmXYiTMKHgktTP8We1SCoS47DrQ/edit?usp=sharing"",""จัดที่ดิน!I43"")"),105)</f>
        <v>105</v>
      </c>
      <c r="K372" s="893">
        <f t="shared" ca="1" si="163"/>
        <v>29.577464788732396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IFERROR(__xludf.DUMMYFUNCTION("IMPORTRANGE(""https://docs.google.com/spreadsheets/d/1XWAQStnk-4SwqDmLtmXYiTMKHgktTP8We1SCoS47DrQ/edit?usp=sharing"",""จัดที่ดิน!J43"")"),733.51)</f>
        <v>733.51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IFERROR(__xludf.DUMMYFUNCTION("IMPORTRANGE(""https://docs.google.com/spreadsheets/d/1QqKyyYR6Q21VydFLVH3TRQUabQu_ym0Zz7PgGX0-kHA/edit?usp=sharing"",""แผน!EU43"")"),800)</f>
        <v>800</v>
      </c>
      <c r="J374" s="1239">
        <f ca="1">J381</f>
        <v>622</v>
      </c>
      <c r="K374" s="1240">
        <f t="shared" ca="1" si="163"/>
        <v>77.75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IFERROR(__xludf.DUMMYFUNCTION("IMPORTRANGE(""https://docs.google.com/spreadsheets/d/1XWAQStnk-4SwqDmLtmXYiTMKHgktTP8We1SCoS47DrQ/edit?usp=sharing"",""จัดที่ดิน!AH43"")"),360)</f>
        <v>360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IFERROR(__xludf.DUMMYFUNCTION("IMPORTRANGE(""https://docs.google.com/spreadsheets/d/1QqKyyYR6Q21VydFLVH3TRQUabQu_ym0Zz7PgGX0-kHA/edit?usp=sharing"",""แผน!ET43"")"),4000)</f>
        <v>4000</v>
      </c>
      <c r="J378" s="892">
        <f ca="1">IFERROR(__xludf.DUMMYFUNCTION("IMPORTRANGE(""https://docs.google.com/spreadsheets/d/1XWAQStnk-4SwqDmLtmXYiTMKHgktTP8We1SCoS47DrQ/edit?usp=sharing"",""จัดที่ดิน!AI43"")"),3362.65)</f>
        <v>3362.65</v>
      </c>
      <c r="K378" s="893">
        <f t="shared" ca="1" si="164"/>
        <v>84.066249999999997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IFERROR(__xludf.DUMMYFUNCTION("IMPORTRANGE(""https://docs.google.com/spreadsheets/d/1QqKyyYR6Q21VydFLVH3TRQUabQu_ym0Zz7PgGX0-kHA/edit?usp=sharing"",""แผน!EU43"")"),800)</f>
        <v>800</v>
      </c>
      <c r="J379" s="892">
        <f ca="1">IFERROR(__xludf.DUMMYFUNCTION("IMPORTRANGE(""https://docs.google.com/spreadsheets/d/1XWAQStnk-4SwqDmLtmXYiTMKHgktTP8We1SCoS47DrQ/edit?usp=sharing"",""จัดที่ดิน!AJ43"")"),621)</f>
        <v>621</v>
      </c>
      <c r="K379" s="893">
        <f t="shared" ca="1" si="164"/>
        <v>77.625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IFERROR(__xludf.DUMMYFUNCTION("IMPORTRANGE(""https://docs.google.com/spreadsheets/d/1XWAQStnk-4SwqDmLtmXYiTMKHgktTP8We1SCoS47DrQ/edit?usp=sharing"",""จัดที่ดิน!AK43"")"),8243.08)</f>
        <v>8243.08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IFERROR(__xludf.DUMMYFUNCTION("IMPORTRANGE(""https://docs.google.com/spreadsheets/d/1QqKyyYR6Q21VydFLVH3TRQUabQu_ym0Zz7PgGX0-kHA/edit?usp=sharing"",""แผน!EU43"")"),800)</f>
        <v>800</v>
      </c>
      <c r="J381" s="892">
        <f ca="1">IFERROR(__xludf.DUMMYFUNCTION("IMPORTRANGE(""https://docs.google.com/spreadsheets/d/1XWAQStnk-4SwqDmLtmXYiTMKHgktTP8We1SCoS47DrQ/edit?usp=sharing"",""จัดที่ดิน!AL43"")"),622)</f>
        <v>622</v>
      </c>
      <c r="K381" s="893">
        <f t="shared" ca="1" si="164"/>
        <v>77.75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IFERROR(__xludf.DUMMYFUNCTION("IMPORTRANGE(""https://docs.google.com/spreadsheets/d/1XWAQStnk-4SwqDmLtmXYiTMKHgktTP8We1SCoS47DrQ/edit?usp=sharing"",""จัดที่ดิน!AM43"")"),8252.61)</f>
        <v>8252.61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IFERROR(__xludf.DUMMYFUNCTION("IMPORTRANGE(""https://docs.google.com/spreadsheets/d/1QqKyyYR6Q21VydFLVH3TRQUabQu_ym0Zz7PgGX0-kHA/edit?usp=sharing"",""แผน!EW43"")"),100)</f>
        <v>100</v>
      </c>
      <c r="J385" s="1149">
        <f ca="1">IFERROR(__xludf.DUMMYFUNCTION("IMPORTRANGE(""https://docs.google.com/spreadsheets/d/1XWAQStnk-4SwqDmLtmXYiTMKHgktTP8We1SCoS47DrQ/edit?usp=sharing"",""จัดที่ดิน!AP43"")"),2)</f>
        <v>2</v>
      </c>
      <c r="K385" s="1251">
        <f ca="1">IF(I385&gt;0,J385*100/I385,0)</f>
        <v>2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IFERROR(__xludf.DUMMYFUNCTION("IMPORTRANGE(""https://docs.google.com/spreadsheets/d/1MeEWN-I1oV_STSDYn1IFDPWt_1FKiwhDph83XaGc0o0/edit?usp=sharing"",""งบพรบ!FG43"")"),0)</f>
        <v>0</v>
      </c>
      <c r="M394" s="899">
        <f ca="1">IFERROR(__xludf.DUMMYFUNCTION("IMPORTRANGE(""https://docs.google.com/spreadsheets/d/1MeEWN-I1oV_STSDYn1IFDPWt_1FKiwhDph83XaGc0o0/edit?usp=sharing"",""งบพรบ!FL43"")"),0)</f>
        <v>0</v>
      </c>
      <c r="N394" s="899">
        <f ca="1">IFERROR(__xludf.DUMMYFUNCTION("IMPORTRANGE(""https://docs.google.com/spreadsheets/d/1MeEWN-I1oV_STSDYn1IFDPWt_1FKiwhDph83XaGc0o0/edit?usp=sharing"",""งบพรบ!FN43"")"),0)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IFERROR(__xludf.DUMMYFUNCTION("IMPORTRANGE(""https://docs.google.com/spreadsheets/d/1MeEWN-I1oV_STSDYn1IFDPWt_1FKiwhDph83XaGc0o0/edit?usp=sharing"",""งบพรบ!FJ43"")"),0)</f>
        <v>0</v>
      </c>
      <c r="M397" s="899">
        <f ca="1">IFERROR(__xludf.DUMMYFUNCTION("IMPORTRANGE(""https://docs.google.com/spreadsheets/d/1MeEWN-I1oV_STSDYn1IFDPWt_1FKiwhDph83XaGc0o0/edit?usp=sharing"",""งบพรบ!FM43"")"),0)</f>
        <v>0</v>
      </c>
      <c r="N397" s="899">
        <f ca="1">IFERROR(__xludf.DUMMYFUNCTION("IMPORTRANGE(""https://docs.google.com/spreadsheets/d/1MeEWN-I1oV_STSDYn1IFDPWt_1FKiwhDph83XaGc0o0/edit?usp=sharing"",""งบพรบ!FO43"")"),0)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IFERROR(__xludf.DUMMYFUNCTION("IMPORTRANGE(""https://docs.google.com/spreadsheets/d/1MeEWN-I1oV_STSDYn1IFDPWt_1FKiwhDph83XaGc0o0/edit?usp=sharing"",""งบพรบ!FQ43"")"),0)</f>
        <v>0</v>
      </c>
      <c r="M407" s="899">
        <f ca="1">IFERROR(__xludf.DUMMYFUNCTION("IMPORTRANGE(""https://docs.google.com/spreadsheets/d/1MeEWN-I1oV_STSDYn1IFDPWt_1FKiwhDph83XaGc0o0/edit?usp=sharing"",""งบพรบ!FV43"")"),0)</f>
        <v>0</v>
      </c>
      <c r="N407" s="899">
        <f ca="1">IFERROR(__xludf.DUMMYFUNCTION("IMPORTRANGE(""https://docs.google.com/spreadsheets/d/1MeEWN-I1oV_STSDYn1IFDPWt_1FKiwhDph83XaGc0o0/edit?usp=sharing"",""งบพรบ!FX43"")"),0)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IFERROR(__xludf.DUMMYFUNCTION("IMPORTRANGE(""https://docs.google.com/spreadsheets/d/1MeEWN-I1oV_STSDYn1IFDPWt_1FKiwhDph83XaGc0o0/edit?usp=sharing"",""งบพรบ!FT43"")"),0)</f>
        <v>0</v>
      </c>
      <c r="M410" s="899">
        <f ca="1">IFERROR(__xludf.DUMMYFUNCTION("IMPORTRANGE(""https://docs.google.com/spreadsheets/d/1MeEWN-I1oV_STSDYn1IFDPWt_1FKiwhDph83XaGc0o0/edit?usp=sharing"",""งบพรบ!FW43"")"),0)</f>
        <v>0</v>
      </c>
      <c r="N410" s="899">
        <f ca="1">IFERROR(__xludf.DUMMYFUNCTION("IMPORTRANGE(""https://docs.google.com/spreadsheets/d/1MeEWN-I1oV_STSDYn1IFDPWt_1FKiwhDph83XaGc0o0/edit?usp=sharing"",""งบพรบ!FY43"")"),0)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2129712</v>
      </c>
      <c r="M414" s="1293">
        <f t="shared" ca="1" si="181"/>
        <v>2129712</v>
      </c>
      <c r="N414" s="1293">
        <f t="shared" si="181"/>
        <v>928288.69</v>
      </c>
      <c r="O414" s="1293">
        <f ca="1">IF(L414&gt;0,N414*100/L414,0)</f>
        <v>43.587522162621049</v>
      </c>
      <c r="P414" s="1293">
        <f ca="1">IF(M414&gt;0,N414*100/M414,0)</f>
        <v>43.587522162621049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61990</v>
      </c>
      <c r="O419" s="1004">
        <f t="shared" ref="O419:O424" ca="1" si="185">IF(L419&gt;0,N419*100/L419,0)</f>
        <v>78.807526061530638</v>
      </c>
      <c r="P419" s="1004">
        <f t="shared" ref="P419:P424" ca="1" si="186">IF(M419&gt;0,N419*100/M419,0)</f>
        <v>78.807526061530638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61990</v>
      </c>
      <c r="O421" s="899">
        <f t="shared" ca="1" si="185"/>
        <v>78.807526061530638</v>
      </c>
      <c r="P421" s="899">
        <f t="shared" ca="1" si="186"/>
        <v>78.807526061530638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61990</v>
      </c>
      <c r="O422" s="893">
        <f t="shared" ca="1" si="185"/>
        <v>78.807526061530638</v>
      </c>
      <c r="P422" s="893">
        <f t="shared" ca="1" si="186"/>
        <v>78.807526061530638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IFERROR(__xludf.DUMMYFUNCTION("IMPORTRANGE(""https://docs.google.com/spreadsheets/d/1QqKyyYR6Q21VydFLVH3TRQUabQu_ym0Zz7PgGX0-kHA/edit?usp=sharing"",""แผน!EY43"")"),78660)</f>
        <v>78660</v>
      </c>
      <c r="M424" s="899">
        <f ca="1">L424</f>
        <v>78660</v>
      </c>
      <c r="N424" s="899">
        <f>N425+N426+N427+N428</f>
        <v>61990</v>
      </c>
      <c r="O424" s="899">
        <f t="shared" ca="1" si="185"/>
        <v>78.807526061530638</v>
      </c>
      <c r="P424" s="899">
        <f t="shared" ca="1" si="186"/>
        <v>78.807526061530638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48400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f>3120+10470</f>
        <v>13590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IFERROR(__xludf.DUMMYFUNCTION("IMPORTRANGE(""https://docs.google.com/spreadsheets/d/1QqKyyYR6Q21VydFLVH3TRQUabQu_ym0Zz7PgGX0-kHA/edit?usp=sharing"",""แผน!FB43"")"),0)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IFERROR(__xludf.DUMMYFUNCTION("IMPORTRANGE(""https://docs.google.com/spreadsheets/d/1QqKyyYR6Q21VydFLVH3TRQUabQu_ym0Zz7PgGX0-kHA/edit?usp=sharing"",""แผน!FE43"")"),0)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IFERROR(__xludf.DUMMYFUNCTION("IMPORTRANGE(""https://docs.google.com/spreadsheets/d/1QqKyyYR6Q21VydFLVH3TRQUabQu_ym0Zz7PgGX0-kHA/edit?usp=sharing"",""แผน!FG43"")"),1)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IFERROR(__xludf.DUMMYFUNCTION("IMPORTRANGE(""https://docs.google.com/spreadsheets/d/1QqKyyYR6Q21VydFLVH3TRQUabQu_ym0Zz7PgGX0-kHA/edit?usp=sharing"",""แผน!FH43"")"),0)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100</v>
      </c>
      <c r="J442" s="1322">
        <f t="shared" si="195"/>
        <v>100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235</v>
      </c>
      <c r="J443" s="1306">
        <f t="shared" si="196"/>
        <v>235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571280</v>
      </c>
      <c r="M444" s="1032">
        <f t="shared" ca="1" si="197"/>
        <v>571280</v>
      </c>
      <c r="N444" s="1032">
        <f t="shared" si="197"/>
        <v>244817</v>
      </c>
      <c r="O444" s="1032">
        <f t="shared" ref="O444:O449" ca="1" si="198">IF(L444&gt;0,N444*100/L444,0)</f>
        <v>42.854117070438313</v>
      </c>
      <c r="P444" s="1032">
        <f t="shared" ref="P444:P449" ca="1" si="199">IF(M444&gt;0,N444*100/M444,0)</f>
        <v>42.854117070438313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571280</v>
      </c>
      <c r="M446" s="899">
        <f t="shared" ca="1" si="200"/>
        <v>571280</v>
      </c>
      <c r="N446" s="899">
        <f t="shared" si="200"/>
        <v>244817</v>
      </c>
      <c r="O446" s="899">
        <f t="shared" ca="1" si="198"/>
        <v>42.854117070438313</v>
      </c>
      <c r="P446" s="899">
        <f t="shared" ca="1" si="199"/>
        <v>42.854117070438313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571280</v>
      </c>
      <c r="M447" s="893">
        <f t="shared" ca="1" si="201"/>
        <v>571280</v>
      </c>
      <c r="N447" s="893">
        <f t="shared" si="201"/>
        <v>244817</v>
      </c>
      <c r="O447" s="893">
        <f t="shared" ca="1" si="198"/>
        <v>42.854117070438313</v>
      </c>
      <c r="P447" s="893">
        <f t="shared" ca="1" si="199"/>
        <v>42.854117070438313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IFERROR(__xludf.DUMMYFUNCTION("IMPORTRANGE(""https://docs.google.com/spreadsheets/d/1QqKyyYR6Q21VydFLVH3TRQUabQu_ym0Zz7PgGX0-kHA/edit?usp=sharing"",""แผน!FJ43"")"),571280)</f>
        <v>571280</v>
      </c>
      <c r="M449" s="899">
        <f ca="1">L449</f>
        <v>571280</v>
      </c>
      <c r="N449" s="899">
        <f>N450+N451+N452+N453</f>
        <v>244817</v>
      </c>
      <c r="O449" s="899">
        <f t="shared" ca="1" si="198"/>
        <v>42.854117070438313</v>
      </c>
      <c r="P449" s="899">
        <f t="shared" ca="1" si="199"/>
        <v>42.854117070438313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128800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64567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f>14800+450+36200</f>
        <v>51450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IFERROR(__xludf.DUMMYFUNCTION("IMPORTRANGE(""https://docs.google.com/spreadsheets/d/1QqKyyYR6Q21VydFLVH3TRQUabQu_ym0Zz7PgGX0-kHA/edit?usp=sharing"",""แผน!FM43"")"),0)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IFERROR(__xludf.DUMMYFUNCTION("IMPORTRANGE(""https://docs.google.com/spreadsheets/d/1QqKyyYR6Q21VydFLVH3TRQUabQu_ym0Zz7PgGX0-kHA/edit?usp=sharing"",""แผน!FN43"")"),100)</f>
        <v>100</v>
      </c>
      <c r="J460" s="1024">
        <v>100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IFERROR(__xludf.DUMMYFUNCTION("IMPORTRANGE(""https://docs.google.com/spreadsheets/d/1QqKyyYR6Q21VydFLVH3TRQUabQu_ym0Zz7PgGX0-kHA/edit?usp=sharing"",""แผน!FO43"")"),235)</f>
        <v>235</v>
      </c>
      <c r="J462" s="1024">
        <v>235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IFERROR(__xludf.DUMMYFUNCTION("IMPORTRANGE(""https://docs.google.com/spreadsheets/d/1QqKyyYR6Q21VydFLVH3TRQUabQu_ym0Zz7PgGX0-kHA/edit?usp=sharing"",""แผน!FO43"")"),235)</f>
        <v>235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IFERROR(__xludf.DUMMYFUNCTION("IMPORTRANGE(""https://docs.google.com/spreadsheets/d/1QqKyyYR6Q21VydFLVH3TRQUabQu_ym0Zz7PgGX0-kHA/edit?usp=sharing"",""แผน!FN43"")"),100)</f>
        <v>100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IFERROR(__xludf.DUMMYFUNCTION("IMPORTRANGE(""https://docs.google.com/spreadsheets/d/1QqKyyYR6Q21VydFLVH3TRQUabQu_ym0Zz7PgGX0-kHA/edit?usp=sharing"",""แผน!FX43"")"),31)</f>
        <v>31</v>
      </c>
      <c r="J465" s="1322">
        <f>J485+J489+J492</f>
        <v>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IFERROR(__xludf.DUMMYFUNCTION("IMPORTRANGE(""https://docs.google.com/spreadsheets/d/1QqKyyYR6Q21VydFLVH3TRQUabQu_ym0Zz7PgGX0-kHA/edit?usp=sharing"",""แผน!FW43"")"),300)</f>
        <v>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260973</v>
      </c>
      <c r="M467" s="1032">
        <f t="shared" ca="1" si="206"/>
        <v>260973</v>
      </c>
      <c r="N467" s="1032">
        <f t="shared" si="206"/>
        <v>59353</v>
      </c>
      <c r="O467" s="1032">
        <f t="shared" ref="O467:O472" ca="1" si="207">IF(L467&gt;0,N467*100/L467,0)</f>
        <v>22.742965747414484</v>
      </c>
      <c r="P467" s="1032">
        <f t="shared" ref="P467:P472" ca="1" si="208">IF(M467&gt;0,N467*100/M467,0)</f>
        <v>22.742965747414484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260973</v>
      </c>
      <c r="M469" s="899">
        <f t="shared" ca="1" si="209"/>
        <v>260973</v>
      </c>
      <c r="N469" s="899">
        <f t="shared" si="209"/>
        <v>59353</v>
      </c>
      <c r="O469" s="899">
        <f t="shared" ca="1" si="207"/>
        <v>22.742965747414484</v>
      </c>
      <c r="P469" s="899">
        <f t="shared" ca="1" si="208"/>
        <v>22.742965747414484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260973</v>
      </c>
      <c r="M470" s="893">
        <f t="shared" ca="1" si="210"/>
        <v>260973</v>
      </c>
      <c r="N470" s="893">
        <f t="shared" si="210"/>
        <v>59353</v>
      </c>
      <c r="O470" s="893">
        <f t="shared" ca="1" si="207"/>
        <v>22.742965747414484</v>
      </c>
      <c r="P470" s="893">
        <f t="shared" ca="1" si="208"/>
        <v>22.742965747414484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IFERROR(__xludf.DUMMYFUNCTION("IMPORTRANGE(""https://docs.google.com/spreadsheets/d/1QqKyyYR6Q21VydFLVH3TRQUabQu_ym0Zz7PgGX0-kHA/edit?usp=sharing"",""แผน!FS43"")"),260973)</f>
        <v>260973</v>
      </c>
      <c r="M472" s="899">
        <f ca="1">L472</f>
        <v>260973</v>
      </c>
      <c r="N472" s="899">
        <f>N473+N474+N475+N476</f>
        <v>59353</v>
      </c>
      <c r="O472" s="899">
        <f t="shared" ca="1" si="207"/>
        <v>22.742965747414484</v>
      </c>
      <c r="P472" s="899">
        <f t="shared" ca="1" si="208"/>
        <v>22.742965747414484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36753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15070+307+7223</f>
        <v>22600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IFERROR(__xludf.DUMMYFUNCTION("IMPORTRANGE(""https://docs.google.com/spreadsheets/d/1QqKyyYR6Q21VydFLVH3TRQUabQu_ym0Zz7PgGX0-kHA/edit?usp=sharing"",""แผน!FV43"")"),0)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IFERROR(__xludf.DUMMYFUNCTION("IMPORTRANGE(""https://docs.google.com/spreadsheets/d/1QqKyyYR6Q21VydFLVH3TRQUabQu_ym0Zz7PgGX0-kHA/edit?usp=sharing"",""แผน!FY43"")"),270)</f>
        <v>270</v>
      </c>
      <c r="J483" s="1024">
        <v>270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IFERROR(__xludf.DUMMYFUNCTION("IMPORTRANGE(""https://docs.google.com/spreadsheets/d/1QqKyyYR6Q21VydFLVH3TRQUabQu_ym0Zz7PgGX0-kHA/edit?usp=sharing"",""แผน!FZ43"")"),27)</f>
        <v>27</v>
      </c>
      <c r="J485" s="1024">
        <v>27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IFERROR(__xludf.DUMMYFUNCTION("IMPORTRANGE(""https://docs.google.com/spreadsheets/d/1QqKyyYR6Q21VydFLVH3TRQUabQu_ym0Zz7PgGX0-kHA/edit?usp=sharing"",""แผน!GA43"")"),30)</f>
        <v>30</v>
      </c>
      <c r="J487" s="1024">
        <v>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IFERROR(__xludf.DUMMYFUNCTION("IMPORTRANGE(""https://docs.google.com/spreadsheets/d/1QqKyyYR6Q21VydFLVH3TRQUabQu_ym0Zz7PgGX0-kHA/edit?usp=sharing"",""แผน!GB43"")"),3)</f>
        <v>3</v>
      </c>
      <c r="J489" s="1024">
        <v>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IFERROR(__xludf.DUMMYFUNCTION("IMPORTRANGE(""https://docs.google.com/spreadsheets/d/1QqKyyYR6Q21VydFLVH3TRQUabQu_ym0Zz7PgGX0-kHA/edit?usp=sharing"",""แผน!GC43"")"),1)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IFERROR(__xludf.DUMMYFUNCTION("IMPORTRANGE(""https://docs.google.com/spreadsheets/d/1QqKyyYR6Q21VydFLVH3TRQUabQu_ym0Zz7PgGX0-kHA/edit?usp=sharing"",""แผน!FY43"")"),270)</f>
        <v>270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IFERROR(__xludf.DUMMYFUNCTION("IMPORTRANGE(""https://docs.google.com/spreadsheets/d/1QqKyyYR6Q21VydFLVH3TRQUabQu_ym0Zz7PgGX0-kHA/edit?usp=sharing"",""แผน!GA43"")"),30)</f>
        <v>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IFERROR(__xludf.DUMMYFUNCTION("IMPORTRANGE(""https://docs.google.com/spreadsheets/d/1QqKyyYR6Q21VydFLVH3TRQUabQu_ym0Zz7PgGX0-kHA/edit?usp=sharing"",""แผน!GQ43"")"),0)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IFERROR(__xludf.DUMMYFUNCTION("IMPORTRANGE(""https://docs.google.com/spreadsheets/d/1QqKyyYR6Q21VydFLVH3TRQUabQu_ym0Zz7PgGX0-kHA/edit?usp=sharing"",""แผน!GT43"")"),0)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IFERROR(__xludf.DUMMYFUNCTION("IMPORTRANGE(""https://docs.google.com/spreadsheets/d/1QqKyyYR6Q21VydFLVH3TRQUabQu_ym0Zz7PgGX0-kHA/edit?usp=sharing"",""แผน!GU43"")"),0)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IFERROR(__xludf.DUMMYFUNCTION("IMPORTRANGE(""https://docs.google.com/spreadsheets/d/1QqKyyYR6Q21VydFLVH3TRQUabQu_ym0Zz7PgGX0-kHA/edit?usp=sharing"",""แผน!GV43"")"),0)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IFERROR(__xludf.DUMMYFUNCTION("IMPORTRANGE(""https://docs.google.com/spreadsheets/d/1QqKyyYR6Q21VydFLVH3TRQUabQu_ym0Zz7PgGX0-kHA/edit?usp=sharing"",""แผน!GW43"")"),0)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IFERROR(__xludf.DUMMYFUNCTION("IMPORTRANGE(""https://docs.google.com/spreadsheets/d/1QqKyyYR6Q21VydFLVH3TRQUabQu_ym0Zz7PgGX0-kHA/edit?usp=sharing"",""แผน!GX43"")"),0)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IFERROR(__xludf.DUMMYFUNCTION("IMPORTRANGE(""https://docs.google.com/spreadsheets/d/1QqKyyYR6Q21VydFLVH3TRQUabQu_ym0Zz7PgGX0-kHA/edit?usp=sharing"",""แผน!GY43"")"),0)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IFERROR(__xludf.DUMMYFUNCTION("IMPORTRANGE(""https://docs.google.com/spreadsheets/d/1QqKyyYR6Q21VydFLVH3TRQUabQu_ym0Zz7PgGX0-kHA/edit?usp=sharing"",""แผน!GZ43"")"),0)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87155</v>
      </c>
      <c r="J543" s="1396">
        <f t="shared" si="235"/>
        <v>87155.307499999995</v>
      </c>
      <c r="K543" s="1397">
        <f t="shared" ca="1" si="234"/>
        <v>100.00035281968906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421879</v>
      </c>
      <c r="M544" s="1004">
        <f t="shared" ca="1" si="236"/>
        <v>421879</v>
      </c>
      <c r="N544" s="1004">
        <f t="shared" si="236"/>
        <v>211690.6</v>
      </c>
      <c r="O544" s="1004">
        <f t="shared" ref="O544:O549" ca="1" si="237">IF(L544&gt;0,N544*100/L544,0)</f>
        <v>50.178036830465608</v>
      </c>
      <c r="P544" s="1004">
        <f t="shared" ref="P544:P549" ca="1" si="238">IF(M544&gt;0,N544*100/M544,0)</f>
        <v>50.178036830465608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421879</v>
      </c>
      <c r="M546" s="899">
        <f t="shared" ca="1" si="240"/>
        <v>421879</v>
      </c>
      <c r="N546" s="899">
        <f t="shared" si="240"/>
        <v>211690.6</v>
      </c>
      <c r="O546" s="899">
        <f t="shared" ca="1" si="237"/>
        <v>50.178036830465608</v>
      </c>
      <c r="P546" s="899">
        <f t="shared" ca="1" si="238"/>
        <v>50.178036830465608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421879</v>
      </c>
      <c r="M547" s="893">
        <f t="shared" ca="1" si="241"/>
        <v>421879</v>
      </c>
      <c r="N547" s="893">
        <f t="shared" si="241"/>
        <v>211690.6</v>
      </c>
      <c r="O547" s="893">
        <f t="shared" ca="1" si="237"/>
        <v>50.178036830465608</v>
      </c>
      <c r="P547" s="893">
        <f t="shared" ca="1" si="238"/>
        <v>50.178036830465608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IFERROR(__xludf.DUMMYFUNCTION("IMPORTRANGE(""https://docs.google.com/spreadsheets/d/1QqKyyYR6Q21VydFLVH3TRQUabQu_ym0Zz7PgGX0-kHA/edit?usp=sharing"",""แผน!HB43"")"),421879)</f>
        <v>421879</v>
      </c>
      <c r="M549" s="899">
        <f ca="1">L549</f>
        <v>421879</v>
      </c>
      <c r="N549" s="899">
        <f>N550+N551+N552+N553+N554</f>
        <v>211690.6</v>
      </c>
      <c r="O549" s="899">
        <f t="shared" ca="1" si="237"/>
        <v>50.178036830465608</v>
      </c>
      <c r="P549" s="899">
        <f t="shared" ca="1" si="238"/>
        <v>50.178036830465608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63268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211690.6-N552</f>
        <v>148422.6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IFERROR(__xludf.DUMMYFUNCTION("IMPORTRANGE(""https://docs.google.com/spreadsheets/d/1QqKyyYR6Q21VydFLVH3TRQUabQu_ym0Zz7PgGX0-kHA/edit?usp=sharing"",""แผน!HF43"")"),0)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87155</v>
      </c>
      <c r="J559" s="1389">
        <f t="shared" si="245"/>
        <v>87155.307499999995</v>
      </c>
      <c r="K559" s="1390">
        <f t="shared" ref="K559:K561" ca="1" si="246">IF(I559&gt;0,J559*100/I559,0)</f>
        <v>100.00035281968906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IFERROR(__xludf.DUMMYFUNCTION("IMPORTRANGE(""https://docs.google.com/spreadsheets/d/1QqKyyYR6Q21VydFLVH3TRQUabQu_ym0Zz7PgGX0-kHA/edit?usp=sharing"",""แผน!HH43"")"),87155)</f>
        <v>87155</v>
      </c>
      <c r="J560" s="1030">
        <f t="shared" ref="J560:J561" si="247">J562+J564+J566</f>
        <v>87155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IFERROR(__xludf.DUMMYFUNCTION("IMPORTRANGE(""https://docs.google.com/spreadsheets/d/1QqKyyYR6Q21VydFLVH3TRQUabQu_ym0Zz7PgGX0-kHA/edit?usp=sharing"",""แผน!HG43"")"),9269)</f>
        <v>9269</v>
      </c>
      <c r="J561" s="1030">
        <f t="shared" si="247"/>
        <v>9250</v>
      </c>
      <c r="K561" s="1174">
        <f t="shared" ca="1" si="246"/>
        <v>99.795015643542996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77490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8474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8915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692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750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84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IFERROR(__xludf.DUMMYFUNCTION("IMPORTRANGE(""https://docs.google.com/spreadsheets/d/1QqKyyYR6Q21VydFLVH3TRQUabQu_ym0Zz7PgGX0-kHA/edit?usp=sharing"",""แผน!HH43"")"),87155)</f>
        <v>87155</v>
      </c>
      <c r="J568" s="1031">
        <f t="shared" ref="J568:J569" si="248">J570+J572+J574</f>
        <v>87155.307499999995</v>
      </c>
      <c r="K568" s="1174">
        <f t="shared" ref="K568:K569" ca="1" si="249">IF(I568&gt;0,J568*100/I568,0)</f>
        <v>100.00035281968906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IFERROR(__xludf.DUMMYFUNCTION("IMPORTRANGE(""https://docs.google.com/spreadsheets/d/1QqKyyYR6Q21VydFLVH3TRQUabQu_ym0Zz7PgGX0-kHA/edit?usp=sharing"",""แผน!HG43"")"),9269)</f>
        <v>9269</v>
      </c>
      <c r="J569" s="1031">
        <f t="shared" si="248"/>
        <v>9250</v>
      </c>
      <c r="K569" s="1174">
        <f t="shared" ca="1" si="249"/>
        <v>99.795015643542996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78529.372499999998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8546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6754.8050000000003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483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1871.13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221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IFERROR(__xludf.DUMMYFUNCTION("IMPORTRANGE(""https://docs.google.com/spreadsheets/d/1QqKyyYR6Q21VydFLVH3TRQUabQu_ym0Zz7PgGX0-kHA/edit?usp=sharing"",""แผน!HH43"")"),87155)</f>
        <v>87155</v>
      </c>
      <c r="J576" s="1031">
        <f t="shared" ref="J576:J577" si="250">J578+J580+J582+J588+J590</f>
        <v>87155.307499999995</v>
      </c>
      <c r="K576" s="1174">
        <f t="shared" ref="K576:K577" ca="1" si="251">IF(I576&gt;0,J576*100/I576,0)</f>
        <v>100.00035281968906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IFERROR(__xludf.DUMMYFUNCTION("IMPORTRANGE(""https://docs.google.com/spreadsheets/d/1QqKyyYR6Q21VydFLVH3TRQUabQu_ym0Zz7PgGX0-kHA/edit?usp=sharing"",""แผน!HG43"")"),9269)</f>
        <v>9269</v>
      </c>
      <c r="J577" s="1031">
        <f t="shared" si="250"/>
        <v>9250</v>
      </c>
      <c r="K577" s="1174">
        <f t="shared" ca="1" si="251"/>
        <v>99.795015643542996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78529.372499999998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8546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6754.8050000000003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483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1871.1299999999999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221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1848.6125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220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22.517499999999998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1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705.7</v>
      </c>
      <c r="J592" s="1389">
        <f t="shared" si="253"/>
        <v>54</v>
      </c>
      <c r="K592" s="1390">
        <f t="shared" ref="K592:K594" ca="1" si="254">IF(I592&gt;0,J592*100/I592,0)</f>
        <v>7.651976760663171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IFERROR(__xludf.DUMMYFUNCTION("IMPORTRANGE(""https://docs.google.com/spreadsheets/d/1QqKyyYR6Q21VydFLVH3TRQUabQu_ym0Zz7PgGX0-kHA/edit?usp=sharing"",""แผน!HJ43"")"),705.7)</f>
        <v>705.7</v>
      </c>
      <c r="J593" s="1030">
        <f t="shared" ref="J593:J594" si="255">J595+J603+J609</f>
        <v>54</v>
      </c>
      <c r="K593" s="1174">
        <f t="shared" ca="1" si="254"/>
        <v>7.651976760663171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IFERROR(__xludf.DUMMYFUNCTION("IMPORTRANGE(""https://docs.google.com/spreadsheets/d/1QqKyyYR6Q21VydFLVH3TRQUabQu_ym0Zz7PgGX0-kHA/edit?usp=sharing"",""แผน!HI43"")"),32)</f>
        <v>32</v>
      </c>
      <c r="J594" s="1030">
        <f t="shared" si="255"/>
        <v>7</v>
      </c>
      <c r="K594" s="1174">
        <f t="shared" ca="1" si="254"/>
        <v>21.875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54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7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44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6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10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1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IFERROR(__xludf.DUMMYFUNCTION("IMPORTRANGE(""https://docs.google.com/spreadsheets/d/1QqKyyYR6Q21VydFLVH3TRQUabQu_ym0Zz7PgGX0-kHA/edit?usp=sharing"",""แผน!HL43"")"),465)</f>
        <v>465</v>
      </c>
      <c r="J620" s="1429">
        <f t="shared" ref="J620:J621" si="260">J622+J624+J626</f>
        <v>465</v>
      </c>
      <c r="K620" s="1430">
        <f t="shared" ref="K620:K621" ca="1" si="261">IF(I620&gt;0,J620*100/I620,0)</f>
        <v>100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IFERROR(__xludf.DUMMYFUNCTION("IMPORTRANGE(""https://docs.google.com/spreadsheets/d/1QqKyyYR6Q21VydFLVH3TRQUabQu_ym0Zz7PgGX0-kHA/edit?usp=sharing"",""แผน!HK43"")"),37)</f>
        <v>37</v>
      </c>
      <c r="J621" s="1429">
        <f t="shared" si="260"/>
        <v>37</v>
      </c>
      <c r="K621" s="1430">
        <f t="shared" ca="1" si="261"/>
        <v>100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292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22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171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14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2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1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250</v>
      </c>
      <c r="J628" s="1438">
        <f t="shared" ca="1" si="262"/>
        <v>60</v>
      </c>
      <c r="K628" s="1439">
        <f ca="1">IF(I628&gt;0,J628*100/I628,0)</f>
        <v>24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454240</v>
      </c>
      <c r="M629" s="1032">
        <f t="shared" ca="1" si="263"/>
        <v>454240</v>
      </c>
      <c r="N629" s="1032">
        <f t="shared" si="263"/>
        <v>191218.07</v>
      </c>
      <c r="O629" s="1032">
        <f t="shared" ref="O629:O634" ca="1" si="264">IF(L629&gt;0,N629*100/L629,0)</f>
        <v>42.096264089468121</v>
      </c>
      <c r="P629" s="1032">
        <f t="shared" ref="P629:P634" ca="1" si="265">IF(M629&gt;0,N629*100/M629,0)</f>
        <v>42.096264089468121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454240</v>
      </c>
      <c r="M631" s="899">
        <f t="shared" ca="1" si="266"/>
        <v>454240</v>
      </c>
      <c r="N631" s="899">
        <f t="shared" si="266"/>
        <v>191218.07</v>
      </c>
      <c r="O631" s="899">
        <f t="shared" ca="1" si="264"/>
        <v>42.096264089468121</v>
      </c>
      <c r="P631" s="899">
        <f t="shared" ca="1" si="265"/>
        <v>42.096264089468121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454240</v>
      </c>
      <c r="M632" s="893">
        <f t="shared" ca="1" si="267"/>
        <v>454240</v>
      </c>
      <c r="N632" s="893">
        <f t="shared" si="267"/>
        <v>191218.07</v>
      </c>
      <c r="O632" s="893">
        <f t="shared" ca="1" si="264"/>
        <v>42.096264089468121</v>
      </c>
      <c r="P632" s="893">
        <f t="shared" ca="1" si="265"/>
        <v>42.096264089468121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IFERROR(__xludf.DUMMYFUNCTION("IMPORTRANGE(""https://docs.google.com/spreadsheets/d/1QqKyyYR6Q21VydFLVH3TRQUabQu_ym0Zz7PgGX0-kHA/edit?usp=sharing"",""แผน!HN43"")"),454240)</f>
        <v>454240</v>
      </c>
      <c r="M634" s="899">
        <f ca="1">L634</f>
        <v>454240</v>
      </c>
      <c r="N634" s="899">
        <f>N635+N636+N637+N638</f>
        <v>191218.07</v>
      </c>
      <c r="O634" s="899">
        <f t="shared" ca="1" si="264"/>
        <v>42.096264089468121</v>
      </c>
      <c r="P634" s="899">
        <f t="shared" ca="1" si="265"/>
        <v>42.096264089468121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63701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191218.07-63701</f>
        <v>127517.07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IFERROR(__xludf.DUMMYFUNCTION("IMPORTRANGE(""https://docs.google.com/spreadsheets/d/1QqKyyYR6Q21VydFLVH3TRQUabQu_ym0Zz7PgGX0-kHA/edit?usp=sharing"",""แผน!HQ43"")"),0)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IFERROR(__xludf.DUMMYFUNCTION("IMPORTRANGE(""https://docs.google.com/spreadsheets/d/1QqKyyYR6Q21VydFLVH3TRQUabQu_ym0Zz7PgGX0-kHA/edit?usp=sharing"",""แผน!HR43"")"),0)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IFERROR(__xludf.DUMMYFUNCTION("IMPORTRANGE(""https://docs.google.com/spreadsheets/d/1QqKyyYR6Q21VydFLVH3TRQUabQu_ym0Zz7PgGX0-kHA/edit?usp=sharing"",""แผน!HR43"")"),0)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IFERROR(__xludf.DUMMYFUNCTION("IMPORTRANGE(""https://docs.google.com/spreadsheets/d/1XWAQStnk-4SwqDmLtmXYiTMKHgktTP8We1SCoS47DrQ/edit?usp=sharing"",""จัดที่ดิน!AS43"")"),139)</f>
        <v>139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IFERROR(__xludf.DUMMYFUNCTION("IMPORTRANGE(""https://docs.google.com/spreadsheets/d/1XWAQStnk-4SwqDmLtmXYiTMKHgktTP8We1SCoS47DrQ/edit?usp=sharing"",""จัดที่ดิน!AT43"")"),67.47)</f>
        <v>67.47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IFERROR(__xludf.DUMMYFUNCTION("IMPORTRANGE(""https://docs.google.com/spreadsheets/d/1QqKyyYR6Q21VydFLVH3TRQUabQu_ym0Zz7PgGX0-kHA/edit?usp=sharing"",""แผน!HS43"")"),250)</f>
        <v>250</v>
      </c>
      <c r="J647" s="892">
        <f ca="1">IFERROR(__xludf.DUMMYFUNCTION("IMPORTRANGE(""https://docs.google.com/spreadsheets/d/1XWAQStnk-4SwqDmLtmXYiTMKHgktTP8We1SCoS47DrQ/edit?usp=sharing"",""จัดที่ดิน!AU43"")"),166)</f>
        <v>166</v>
      </c>
      <c r="K647" s="1010">
        <f t="shared" ca="1" si="271"/>
        <v>66.400000000000006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IFERROR(__xludf.DUMMYFUNCTION("IMPORTRANGE(""https://docs.google.com/spreadsheets/d/1XWAQStnk-4SwqDmLtmXYiTMKHgktTP8We1SCoS47DrQ/edit?usp=sharing"",""จัดที่ดิน!AV43"")"),89.63)</f>
        <v>89.63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IFERROR(__xludf.DUMMYFUNCTION("IMPORTRANGE(""https://docs.google.com/spreadsheets/d/1QqKyyYR6Q21VydFLVH3TRQUabQu_ym0Zz7PgGX0-kHA/edit?usp=sharing"",""แผน!HS43"")"),250)</f>
        <v>250</v>
      </c>
      <c r="J649" s="892">
        <f ca="1">IFERROR(__xludf.DUMMYFUNCTION("IMPORTRANGE(""https://docs.google.com/spreadsheets/d/1XWAQStnk-4SwqDmLtmXYiTMKHgktTP8We1SCoS47DrQ/edit?usp=sharing"",""จัดที่ดิน!AW43"")"),144)</f>
        <v>144</v>
      </c>
      <c r="K649" s="1010">
        <f t="shared" ca="1" si="271"/>
        <v>57.6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IFERROR(__xludf.DUMMYFUNCTION("IMPORTRANGE(""https://docs.google.com/spreadsheets/d/1XWAQStnk-4SwqDmLtmXYiTMKHgktTP8We1SCoS47DrQ/edit?usp=sharing"",""จัดที่ดิน!AX43"")"),79)</f>
        <v>79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IFERROR(__xludf.DUMMYFUNCTION("IMPORTRANGE(""https://docs.google.com/spreadsheets/d/1QqKyyYR6Q21VydFLVH3TRQUabQu_ym0Zz7PgGX0-kHA/edit?usp=sharing"",""แผน!HS43"")"),250)</f>
        <v>250</v>
      </c>
      <c r="J651" s="892">
        <f ca="1">IFERROR(__xludf.DUMMYFUNCTION("IMPORTRANGE(""https://docs.google.com/spreadsheets/d/1XWAQStnk-4SwqDmLtmXYiTMKHgktTP8We1SCoS47DrQ/edit?usp=sharing"",""จัดที่ดิน!AY43"")"),60)</f>
        <v>60</v>
      </c>
      <c r="K651" s="1010">
        <f t="shared" ca="1" si="271"/>
        <v>24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IFERROR(__xludf.DUMMYFUNCTION("IMPORTRANGE(""https://docs.google.com/spreadsheets/d/1XWAQStnk-4SwqDmLtmXYiTMKHgktTP8We1SCoS47DrQ/edit?usp=sharing"",""จัดที่ดิน!AZ43"")"),37.2475)</f>
        <v>37.247500000000002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14000</v>
      </c>
      <c r="M655" s="1032">
        <f t="shared" ca="1" si="273"/>
        <v>14000</v>
      </c>
      <c r="N655" s="1032">
        <f t="shared" si="273"/>
        <v>14000</v>
      </c>
      <c r="O655" s="1032">
        <f t="shared" ref="O655:O660" ca="1" si="274">IF(L655&gt;0,N655*100/L655,0)</f>
        <v>100</v>
      </c>
      <c r="P655" s="1032">
        <f t="shared" ref="P655:P660" ca="1" si="275">IF(M655&gt;0,N655*100/M655,0)</f>
        <v>100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14000</v>
      </c>
      <c r="M657" s="899">
        <f t="shared" ca="1" si="276"/>
        <v>14000</v>
      </c>
      <c r="N657" s="899">
        <f t="shared" si="276"/>
        <v>14000</v>
      </c>
      <c r="O657" s="899">
        <f t="shared" ca="1" si="274"/>
        <v>100</v>
      </c>
      <c r="P657" s="899">
        <f t="shared" ca="1" si="275"/>
        <v>100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14000</v>
      </c>
      <c r="M658" s="893">
        <f t="shared" ca="1" si="277"/>
        <v>14000</v>
      </c>
      <c r="N658" s="893">
        <f t="shared" si="277"/>
        <v>14000</v>
      </c>
      <c r="O658" s="893">
        <f t="shared" ca="1" si="274"/>
        <v>100</v>
      </c>
      <c r="P658" s="893">
        <f t="shared" ca="1" si="275"/>
        <v>100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IFERROR(__xludf.DUMMYFUNCTION("IMPORTRANGE(""https://docs.google.com/spreadsheets/d/1QqKyyYR6Q21VydFLVH3TRQUabQu_ym0Zz7PgGX0-kHA/edit?usp=sharing"",""แผน!HV43"")"),14000)</f>
        <v>14000</v>
      </c>
      <c r="M660" s="899">
        <f ca="1">L660</f>
        <v>14000</v>
      </c>
      <c r="N660" s="899">
        <f>N661+N662+N663+N664</f>
        <v>14000</v>
      </c>
      <c r="O660" s="899">
        <f t="shared" ca="1" si="274"/>
        <v>100</v>
      </c>
      <c r="P660" s="899">
        <f t="shared" ca="1" si="275"/>
        <v>100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14000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IFERROR(__xludf.DUMMYFUNCTION("IMPORTRANGE(""https://docs.google.com/spreadsheets/d/1QqKyyYR6Q21VydFLVH3TRQUabQu_ym0Zz7PgGX0-kHA/edit?usp=sharing"",""แผน!IA43"")"),100)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IFERROR(__xludf.DUMMYFUNCTION("IMPORTRANGE(""https://docs.google.com/spreadsheets/d/1QqKyyYR6Q21VydFLVH3TRQUabQu_ym0Zz7PgGX0-kHA/edit?usp=sharing"",""แผน!HZ43"")"),5)</f>
        <v>5</v>
      </c>
      <c r="J670" s="1024">
        <v>5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IFERROR(__xludf.DUMMYFUNCTION("IMPORTRANGE(""https://docs.google.com/spreadsheets/d/1QqKyyYR6Q21VydFLVH3TRQUabQu_ym0Zz7PgGX0-kHA/edit?usp=sharing"",""แผน!HZ43"")"),5)</f>
        <v>5</v>
      </c>
      <c r="J671" s="1024">
        <v>5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8</v>
      </c>
      <c r="K672" s="893">
        <f t="shared" ref="K672:K675" ca="1" si="281">IF(I$669&gt;0,J672*100/I$669,0)</f>
        <v>8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8</v>
      </c>
      <c r="K673" s="893">
        <f t="shared" ca="1" si="281"/>
        <v>8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IFERROR(__xludf.DUMMYFUNCTION("IMPORTRANGE(""https://docs.google.com/spreadsheets/d/1QqKyyYR6Q21VydFLVH3TRQUabQu_ym0Zz7PgGX0-kHA/edit?usp=sharing"",""แผน!IB43"")"),0)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1480</v>
      </c>
      <c r="M685" s="1032">
        <f t="shared" ca="1" si="282"/>
        <v>1480</v>
      </c>
      <c r="N685" s="1032">
        <f t="shared" si="282"/>
        <v>1030</v>
      </c>
      <c r="O685" s="1032">
        <f t="shared" ref="O685:O688" ca="1" si="283">IF(L685&gt;0,N685*100/L685,0)</f>
        <v>69.594594594594597</v>
      </c>
      <c r="P685" s="1032">
        <f t="shared" ref="P685:P688" ca="1" si="284">IF(M685&gt;0,N685*100/M685,0)</f>
        <v>69.594594594594597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1480</v>
      </c>
      <c r="M687" s="899">
        <f t="shared" ca="1" si="285"/>
        <v>1480</v>
      </c>
      <c r="N687" s="899">
        <f t="shared" si="285"/>
        <v>1030</v>
      </c>
      <c r="O687" s="899">
        <f t="shared" ca="1" si="283"/>
        <v>69.594594594594597</v>
      </c>
      <c r="P687" s="899">
        <f t="shared" ca="1" si="284"/>
        <v>69.594594594594597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1480</v>
      </c>
      <c r="M688" s="893">
        <f t="shared" ca="1" si="286"/>
        <v>1480</v>
      </c>
      <c r="N688" s="893">
        <f t="shared" si="286"/>
        <v>1030</v>
      </c>
      <c r="O688" s="893">
        <f t="shared" ca="1" si="283"/>
        <v>69.594594594594597</v>
      </c>
      <c r="P688" s="893">
        <f t="shared" ca="1" si="284"/>
        <v>69.594594594594597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IFERROR(__xludf.DUMMYFUNCTION("IMPORTRANGE(""https://docs.google.com/spreadsheets/d/1QqKyyYR6Q21VydFLVH3TRQUabQu_ym0Zz7PgGX0-kHA/edit?usp=sharing"",""แผน!HW43"")"),1480)</f>
        <v>1480</v>
      </c>
      <c r="M690" s="899">
        <f ca="1">L690</f>
        <v>1480</v>
      </c>
      <c r="N690" s="899">
        <f>N691+N692+N693+N694</f>
        <v>1030</v>
      </c>
      <c r="O690" s="899">
        <f ca="1">IF(L690&gt;0,N690*100/L690,0)</f>
        <v>69.594594594594597</v>
      </c>
      <c r="P690" s="899">
        <f ca="1">IF(M690&gt;0,N690*100/M690,0)</f>
        <v>69.594594594594597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1030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IFERROR(__xludf.DUMMYFUNCTION("IMPORTRANGE(""https://docs.google.com/spreadsheets/d/1QqKyyYR6Q21VydFLVH3TRQUabQu_ym0Zz7PgGX0-kHA/edit?usp=sharing"",""แผน!IC43"")"),0)</f>
        <v>0</v>
      </c>
      <c r="J699" s="892">
        <f ca="1">IFERROR(__xludf.DUMMYFUNCTION("IMPORTRANGE(""https://docs.google.com/spreadsheets/d/1XWAQStnk-4SwqDmLtmXYiTMKHgktTP8We1SCoS47DrQ/edit?usp=sharing"",""จัดที่ดิน!BB43"")"),0)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IFERROR(__xludf.DUMMYFUNCTION("IMPORTRANGE(""https://docs.google.com/spreadsheets/d/1QqKyyYR6Q21VydFLVH3TRQUabQu_ym0Zz7PgGX0-kHA/edit?usp=sharing"",""แผน!ID43"")"),0)</f>
        <v>0</v>
      </c>
      <c r="J700" s="892">
        <f ca="1">IFERROR(__xludf.DUMMYFUNCTION("IMPORTRANGE(""https://docs.google.com/spreadsheets/d/1XWAQStnk-4SwqDmLtmXYiTMKHgktTP8We1SCoS47DrQ/edit?usp=sharing"",""จัดที่ดิน!BD43"")"),0)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IFERROR(__xludf.DUMMYFUNCTION("IMPORTRANGE(""https://docs.google.com/spreadsheets/d/1QqKyyYR6Q21VydFLVH3TRQUabQu_ym0Zz7PgGX0-kHA/edit?usp=sharing"",""แผน!IE43"")"),0)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IFERROR(__xludf.DUMMYFUNCTION("IMPORTRANGE(""https://docs.google.com/spreadsheets/d/1QqKyyYR6Q21VydFLVH3TRQUabQu_ym0Zz7PgGX0-kHA/edit?usp=sharing"",""แผน!IF43"")"),0)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IFERROR(__xludf.DUMMYFUNCTION("IMPORTRANGE(""https://docs.google.com/spreadsheets/d/1QqKyyYR6Q21VydFLVH3TRQUabQu_ym0Zz7PgGX0-kHA/edit?usp=sharing"",""แผน!IG43"")"),0)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IFERROR(__xludf.DUMMYFUNCTION("IMPORTRANGE(""https://docs.google.com/spreadsheets/d/1QqKyyYR6Q21VydFLVH3TRQUabQu_ym0Zz7PgGX0-kHA/edit?usp=sharing"",""แผน!IH43"")"),12)</f>
        <v>12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IFERROR(__xludf.DUMMYFUNCTION("IMPORTRANGE(""https://docs.google.com/spreadsheets/d/1XWAQStnk-4SwqDmLtmXYiTMKHgktTP8We1SCoS47DrQ/edit?usp=sharing"",""จัดที่ดิน!BF43"")"),0)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IFERROR(__xludf.DUMMYFUNCTION("IMPORTRANGE(""https://docs.google.com/spreadsheets/d/1XWAQStnk-4SwqDmLtmXYiTMKHgktTP8We1SCoS47DrQ/edit?usp=sharing"",""จัดที่ดิน!BG43"")"),0)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IFERROR(__xludf.DUMMYFUNCTION("IMPORTRANGE(""https://docs.google.com/spreadsheets/d/1QqKyyYR6Q21VydFLVH3TRQUabQu_ym0Zz7PgGX0-kHA/edit?usp=sharing"",""แผน!II43"")"),0)</f>
        <v>0</v>
      </c>
      <c r="J720" s="892">
        <f ca="1">IFERROR(__xludf.DUMMYFUNCTION("IMPORTRANGE(""https://docs.google.com/spreadsheets/d/1XWAQStnk-4SwqDmLtmXYiTMKHgktTP8We1SCoS47DrQ/edit?usp=sharing"",""จัดที่ดิน!BH43"")"),0)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IFERROR(__xludf.DUMMYFUNCTION("IMPORTRANGE(""https://docs.google.com/spreadsheets/d/1QqKyyYR6Q21VydFLVH3TRQUabQu_ym0Zz7PgGX0-kHA/edit?usp=sharing"",""แผน!IJ43"")"),2)</f>
        <v>2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IFERROR(__xludf.DUMMYFUNCTION("IMPORTRANGE(""https://docs.google.com/spreadsheets/d/1QqKyyYR6Q21VydFLVH3TRQUabQu_ym0Zz7PgGX0-kHA/edit?usp=sharing"",""แผน!IK43"")"),12)</f>
        <v>12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IFERROR(__xludf.DUMMYFUNCTION("IMPORTRANGE(""https://docs.google.com/spreadsheets/d/1QqKyyYR6Q21VydFLVH3TRQUabQu_ym0Zz7PgGX0-kHA/edit?usp=sharing"",""แผน!IL43"")"),2)</f>
        <v>2</v>
      </c>
      <c r="J723" s="892">
        <f ca="1">IFERROR(__xludf.DUMMYFUNCTION("IMPORTRANGE(""https://docs.google.com/spreadsheets/d/1XWAQStnk-4SwqDmLtmXYiTMKHgktTP8We1SCoS47DrQ/edit?usp=sharing"",""จัดที่ดิน!BM43"")"),0)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IFERROR(__xludf.DUMMYFUNCTION("IMPORTRANGE(""https://docs.google.com/spreadsheets/d/1XWAQStnk-4SwqDmLtmXYiTMKHgktTP8We1SCoS47DrQ/edit?usp=sharing"",""จัดที่ดิน!BN43"")"),0)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IFERROR(__xludf.DUMMYFUNCTION("IMPORTRANGE(""https://docs.google.com/spreadsheets/d/1QqKyyYR6Q21VydFLVH3TRQUabQu_ym0Zz7PgGX0-kHA/edit?usp=sharing"",""แผน!IM43"")"),12)</f>
        <v>12</v>
      </c>
      <c r="J725" s="892">
        <f ca="1">IFERROR(__xludf.DUMMYFUNCTION("IMPORTRANGE(""https://docs.google.com/spreadsheets/d/1XWAQStnk-4SwqDmLtmXYiTMKHgktTP8We1SCoS47DrQ/edit?usp=sharing"",""จัดที่ดิน!BO43"")"),0)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IFERROR(__xludf.DUMMYFUNCTION("IMPORTRANGE(""https://docs.google.com/spreadsheets/d/1QqKyyYR6Q21VydFLVH3TRQUabQu_ym0Zz7PgGX0-kHA/edit?usp=sharing"",""แผน!IN43"")"),0)</f>
        <v>0</v>
      </c>
      <c r="J726" s="892">
        <f ca="1">IFERROR(__xludf.DUMMYFUNCTION("IMPORTRANGE(""https://docs.google.com/spreadsheets/d/1XWAQStnk-4SwqDmLtmXYiTMKHgktTP8We1SCoS47DrQ/edit?usp=sharing"",""จัดที่ดิน!BR43"")"),0)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IFERROR(__xludf.DUMMYFUNCTION("IMPORTRANGE(""https://docs.google.com/spreadsheets/d/1XWAQStnk-4SwqDmLtmXYiTMKHgktTP8We1SCoS47DrQ/edit?usp=sharing"",""จัดที่ดิน!BS43"")"),0)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IFERROR(__xludf.DUMMYFUNCTION("IMPORTRANGE(""https://docs.google.com/spreadsheets/d/1QqKyyYR6Q21VydFLVH3TRQUabQu_ym0Zz7PgGX0-kHA/edit?usp=sharing"",""แผน!IO43"")"),0)</f>
        <v>0</v>
      </c>
      <c r="J728" s="892">
        <f ca="1">IFERROR(__xludf.DUMMYFUNCTION("IMPORTRANGE(""https://docs.google.com/spreadsheets/d/1XWAQStnk-4SwqDmLtmXYiTMKHgktTP8We1SCoS47DrQ/edit?usp=sharing"",""จัดที่ดิน!BT43"")"),0)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IFERROR(__xludf.DUMMYFUNCTION("IMPORTRANGE(""https://docs.google.com/spreadsheets/d/1QqKyyYR6Q21VydFLVH3TRQUabQu_ym0Zz7PgGX0-kHA/edit?usp=sharing"",""แผน!IP43"")"),0)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5000</v>
      </c>
      <c r="J785" s="804">
        <f t="shared" ca="1" si="318"/>
        <v>1105</v>
      </c>
      <c r="K785" s="805">
        <f ca="1">IF(I785&gt;0,J785*100/I785,0)</f>
        <v>22.1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327200</v>
      </c>
      <c r="M786" s="1032">
        <f t="shared" ca="1" si="319"/>
        <v>327200</v>
      </c>
      <c r="N786" s="1032">
        <f t="shared" si="319"/>
        <v>144190.01999999999</v>
      </c>
      <c r="O786" s="1032">
        <f t="shared" ref="O786:O791" ca="1" si="320">IF(L786&gt;0,N786*100/L786,0)</f>
        <v>44.067854523227375</v>
      </c>
      <c r="P786" s="1032">
        <f t="shared" ref="P786:P791" ca="1" si="321">IF(M786&gt;0,N786*100/M786,0)</f>
        <v>44.067854523227375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327200</v>
      </c>
      <c r="M788" s="899">
        <f t="shared" ca="1" si="322"/>
        <v>327200</v>
      </c>
      <c r="N788" s="899">
        <f t="shared" si="322"/>
        <v>144190.01999999999</v>
      </c>
      <c r="O788" s="899">
        <f t="shared" ca="1" si="320"/>
        <v>44.067854523227375</v>
      </c>
      <c r="P788" s="899">
        <f t="shared" ca="1" si="321"/>
        <v>44.067854523227375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327200</v>
      </c>
      <c r="M789" s="893">
        <f t="shared" ca="1" si="323"/>
        <v>327200</v>
      </c>
      <c r="N789" s="893">
        <f t="shared" si="323"/>
        <v>144190.01999999999</v>
      </c>
      <c r="O789" s="893">
        <f t="shared" ca="1" si="320"/>
        <v>44.067854523227375</v>
      </c>
      <c r="P789" s="893">
        <f t="shared" ca="1" si="321"/>
        <v>44.067854523227375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IFERROR(__xludf.DUMMYFUNCTION("IMPORTRANGE(""https://docs.google.com/spreadsheets/d/1QqKyyYR6Q21VydFLVH3TRQUabQu_ym0Zz7PgGX0-kHA/edit?usp=sharing"",""แผน!JJ43"")"),327200)</f>
        <v>327200</v>
      </c>
      <c r="M791" s="899">
        <f ca="1">L791</f>
        <v>327200</v>
      </c>
      <c r="N791" s="899">
        <f>N792+N793+N794+N795</f>
        <v>144190.01999999999</v>
      </c>
      <c r="O791" s="899">
        <f t="shared" ca="1" si="320"/>
        <v>44.067854523227375</v>
      </c>
      <c r="P791" s="899">
        <f t="shared" ca="1" si="321"/>
        <v>44.067854523227375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73247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f>144190.02-73247</f>
        <v>70943.01999999999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IFERROR(__xludf.DUMMYFUNCTION("IMPORTRANGE(""https://docs.google.com/spreadsheets/d/1MaWodYyGHDf7siQLGxnXhG4mBNTNIuy296niS2xXulU/edit?usp=sharing"",""RTK!H43"")"),96)</f>
        <v>96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IFERROR(__xludf.DUMMYFUNCTION("IMPORTRANGE(""https://docs.google.com/spreadsheets/d/1MaWodYyGHDf7siQLGxnXhG4mBNTNIuy296niS2xXulU/edit?usp=sharing"",""RTK!G43"")"),5000)</f>
        <v>5000</v>
      </c>
      <c r="J801" s="819">
        <f ca="1">IFERROR(__xludf.DUMMYFUNCTION("IMPORTRANGE(""https://docs.google.com/spreadsheets/d/1MaWodYyGHDf7siQLGxnXhG4mBNTNIuy296niS2xXulU/edit?usp=sharing"",""RTK!I43"")"),1105)</f>
        <v>1105</v>
      </c>
      <c r="K801" s="820">
        <f ca="1">IF(I801&gt;0,J801*100/I801,0)</f>
        <v>22.1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IFERROR(__xludf.DUMMYFUNCTION("IMPORTRANGE(""https://docs.google.com/spreadsheets/d/1MaWodYyGHDf7siQLGxnXhG4mBNTNIuy296niS2xXulU/edit?usp=sharing"",""RTK!L43"")"),0)</f>
        <v>0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IFERROR(__xludf.DUMMYFUNCTION("IMPORTRANGE(""https://docs.google.com/spreadsheets/d/1MaWodYyGHDf7siQLGxnXhG4mBNTNIuy296niS2xXulU/edit?usp=sharing"",""RTK!K43"")"),0)</f>
        <v>0</v>
      </c>
      <c r="J803" s="819">
        <f ca="1">IFERROR(__xludf.DUMMYFUNCTION("IMPORTRANGE(""https://docs.google.com/spreadsheets/d/1MaWodYyGHDf7siQLGxnXhG4mBNTNIuy296niS2xXulU/edit?usp=sharing"",""RTK!M43"")"),0)</f>
        <v>0</v>
      </c>
      <c r="K803" s="820">
        <f t="shared" ref="K803:K804" ca="1" si="327">IF(I803&gt;0,J803*100/I803,0)</f>
        <v>0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892">
        <f ca="1">IFERROR(__xludf.DUMMYFUNCTION("IMPORTRANGE(""https://docs.google.com/spreadsheets/d/19vJNZY_5yjcGF2XGBMNZRCAIB0Kwfpjp8YEOfu-bneM/edit?usp=sharing"",""งานกองทุน!F43"")"),12045690.22)</f>
        <v>12045690.220000001</v>
      </c>
      <c r="K821" s="893">
        <f t="shared" ref="K821:K828" ca="1" si="336">IF(I821&gt;0,J821*100/I821,0)</f>
        <v>84.675611753901947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IFERROR(__xludf.DUMMYFUNCTION("IMPORTRANGE(""https://docs.google.com/spreadsheets/d/19vJNZY_5yjcGF2XGBMNZRCAIB0Kwfpjp8YEOfu-bneM/edit?usp=sharing"",""งานกองทุน!C43"")"),297)</f>
        <v>297</v>
      </c>
      <c r="J822" s="892">
        <f ca="1">IFERROR(__xludf.DUMMYFUNCTION("IMPORTRANGE(""https://docs.google.com/spreadsheets/d/19vJNZY_5yjcGF2XGBMNZRCAIB0Kwfpjp8YEOfu-bneM/edit?usp=sharing"",""งานกองทุน!E43"")"),253)</f>
        <v>253</v>
      </c>
      <c r="K822" s="893">
        <f t="shared" ca="1" si="336"/>
        <v>85.18518518518519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892">
        <f ca="1">IFERROR(__xludf.DUMMYFUNCTION("IMPORTRANGE(""https://docs.google.com/spreadsheets/d/19vJNZY_5yjcGF2XGBMNZRCAIB0Kwfpjp8YEOfu-bneM/edit?usp=sharing"",""งานกองทุน!K43"")"),991554.23)</f>
        <v>991554.23</v>
      </c>
      <c r="K823" s="893">
        <f t="shared" ca="1" si="336"/>
        <v>6.9136944380288927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IFERROR(__xludf.DUMMYFUNCTION("IMPORTRANGE(""https://docs.google.com/spreadsheets/d/19vJNZY_5yjcGF2XGBMNZRCAIB0Kwfpjp8YEOfu-bneM/edit?usp=sharing"",""งานกองทุน!H43"")"),407)</f>
        <v>407</v>
      </c>
      <c r="J824" s="892">
        <f ca="1">IFERROR(__xludf.DUMMYFUNCTION("IMPORTRANGE(""https://docs.google.com/spreadsheets/d/19vJNZY_5yjcGF2XGBMNZRCAIB0Kwfpjp8YEOfu-bneM/edit?usp=sharing"",""งานกองทุน!J43"")"),147)</f>
        <v>147</v>
      </c>
      <c r="K824" s="893">
        <f t="shared" ca="1" si="336"/>
        <v>36.117936117936118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IFERROR(__xludf.DUMMYFUNCTION("IMPORTRANGE(""https://docs.google.com/spreadsheets/d/19vJNZY_5yjcGF2XGBMNZRCAIB0Kwfpjp8YEOfu-bneM/edit?usp=sharing"",""งานกองทุน!N43"")"),6779.25)</f>
        <v>6779.25</v>
      </c>
      <c r="J825" s="892">
        <f ca="1">IFERROR(__xludf.DUMMYFUNCTION("IMPORTRANGE(""https://docs.google.com/spreadsheets/d/19vJNZY_5yjcGF2XGBMNZRCAIB0Kwfpjp8YEOfu-bneM/edit?usp=sharing"",""งานกองทุน!P43"")"),5309.25)</f>
        <v>5309.25</v>
      </c>
      <c r="K825" s="893">
        <f t="shared" ca="1" si="336"/>
        <v>78.316185418741014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IFERROR(__xludf.DUMMYFUNCTION("IMPORTRANGE(""https://docs.google.com/spreadsheets/d/19vJNZY_5yjcGF2XGBMNZRCAIB0Kwfpjp8YEOfu-bneM/edit?usp=sharing"",""งานกองทุน!M43"")"),4)</f>
        <v>4</v>
      </c>
      <c r="J826" s="892">
        <f ca="1">IFERROR(__xludf.DUMMYFUNCTION("IMPORTRANGE(""https://docs.google.com/spreadsheets/d/19vJNZY_5yjcGF2XGBMNZRCAIB0Kwfpjp8YEOfu-bneM/edit?usp=sharing"",""งานกองทุน!O43"")"),3)</f>
        <v>3</v>
      </c>
      <c r="K826" s="893">
        <f t="shared" ca="1" si="336"/>
        <v>75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IFERROR(__xludf.DUMMYFUNCTION("IMPORTRANGE(""https://docs.google.com/spreadsheets/d/19vJNZY_5yjcGF2XGBMNZRCAIB0Kwfpjp8YEOfu-bneM/edit?usp=sharing"",""งานกองทุน!S43"")"),13430000)</f>
        <v>13430000</v>
      </c>
      <c r="J827" s="892">
        <f ca="1">IFERROR(__xludf.DUMMYFUNCTION("IMPORTRANGE(""https://docs.google.com/spreadsheets/d/19vJNZY_5yjcGF2XGBMNZRCAIB0Kwfpjp8YEOfu-bneM/edit?usp=sharing"",""งานกองทุน!U43"")"),10700000)</f>
        <v>10700000</v>
      </c>
      <c r="K827" s="893">
        <f t="shared" ca="1" si="336"/>
        <v>79.672375279225619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IFERROR(__xludf.DUMMYFUNCTION("IMPORTRANGE(""https://docs.google.com/spreadsheets/d/19vJNZY_5yjcGF2XGBMNZRCAIB0Kwfpjp8YEOfu-bneM/edit?usp=sharing"",""งานกองทุน!R43"")"),537)</f>
        <v>537</v>
      </c>
      <c r="J828" s="1149">
        <f ca="1">IFERROR(__xludf.DUMMYFUNCTION("IMPORTRANGE(""https://docs.google.com/spreadsheets/d/19vJNZY_5yjcGF2XGBMNZRCAIB0Kwfpjp8YEOfu-bneM/edit?usp=sharing"",""งานกองทุน!T43"")"),214)</f>
        <v>214</v>
      </c>
      <c r="K828" s="1251">
        <f t="shared" ca="1" si="336"/>
        <v>39.851024208566109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F4E1-51DD-4876-91A8-5F1F9585394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2" width="22" style="864" bestFit="1" customWidth="1"/>
    <col min="13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11580154</v>
      </c>
      <c r="M8" s="879">
        <f t="shared" ca="1" si="0"/>
        <v>9505292.9299999997</v>
      </c>
      <c r="N8" s="879">
        <f t="shared" ca="1" si="0"/>
        <v>6526149.2699999996</v>
      </c>
      <c r="O8" s="879">
        <f t="shared" ref="O8:O16" ca="1" si="1">IF(L8&gt;0,N8*100/L8,0)</f>
        <v>56.356325399472233</v>
      </c>
      <c r="P8" s="879">
        <f t="shared" ref="P8:P16" ca="1" si="2">IF(M8&gt;0,N8*100/M8,0)</f>
        <v>68.658055233653911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11580154</v>
      </c>
      <c r="M10" s="886">
        <f t="shared" ca="1" si="3"/>
        <v>9505292.9299999997</v>
      </c>
      <c r="N10" s="886">
        <f t="shared" ca="1" si="3"/>
        <v>6526149.2699999996</v>
      </c>
      <c r="O10" s="886">
        <f t="shared" ca="1" si="1"/>
        <v>56.356325399472233</v>
      </c>
      <c r="P10" s="886">
        <f t="shared" ca="1" si="2"/>
        <v>68.658055233653911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7439754</v>
      </c>
      <c r="M11" s="893">
        <f t="shared" ca="1" si="4"/>
        <v>6449598.1200000001</v>
      </c>
      <c r="N11" s="893">
        <f t="shared" ca="1" si="4"/>
        <v>3470454.46</v>
      </c>
      <c r="O11" s="893">
        <f t="shared" ca="1" si="1"/>
        <v>46.647435654458469</v>
      </c>
      <c r="P11" s="893">
        <f t="shared" ca="1" si="2"/>
        <v>53.808848170527561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7439754</v>
      </c>
      <c r="M13" s="899">
        <f t="shared" ca="1" si="5"/>
        <v>6449598.1200000001</v>
      </c>
      <c r="N13" s="899">
        <f t="shared" ca="1" si="5"/>
        <v>3470454.46</v>
      </c>
      <c r="O13" s="899">
        <f t="shared" ca="1" si="1"/>
        <v>46.647435654458469</v>
      </c>
      <c r="P13" s="899">
        <f t="shared" ca="1" si="2"/>
        <v>53.808848170527561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4140400</v>
      </c>
      <c r="M14" s="893">
        <f t="shared" ca="1" si="6"/>
        <v>3055694.81</v>
      </c>
      <c r="N14" s="893">
        <f t="shared" ca="1" si="6"/>
        <v>3055694.81</v>
      </c>
      <c r="O14" s="893">
        <f t="shared" ca="1" si="1"/>
        <v>73.801922761085891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4140400</v>
      </c>
      <c r="M16" s="905">
        <f t="shared" ca="1" si="7"/>
        <v>3055694.81</v>
      </c>
      <c r="N16" s="905">
        <f t="shared" ca="1" si="7"/>
        <v>3055694.81</v>
      </c>
      <c r="O16" s="905">
        <f t="shared" ca="1" si="1"/>
        <v>73.801922761085891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9264283</v>
      </c>
      <c r="M18" s="879">
        <f t="shared" ca="1" si="8"/>
        <v>7189421.9299999997</v>
      </c>
      <c r="N18" s="879">
        <f t="shared" ca="1" si="8"/>
        <v>5851934.1699999999</v>
      </c>
      <c r="O18" s="879">
        <f t="shared" ref="O18:O26" ca="1" si="9">IF(L18&gt;0,N18*100/L18,0)</f>
        <v>63.166617103557826</v>
      </c>
      <c r="P18" s="879">
        <f t="shared" ref="P18:P26" ca="1" si="10">IF(M18&gt;0,N18*100/M18,0)</f>
        <v>81.396449213546163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9264283</v>
      </c>
      <c r="M20" s="886">
        <f t="shared" ca="1" si="11"/>
        <v>7189421.9299999997</v>
      </c>
      <c r="N20" s="886">
        <f t="shared" ca="1" si="11"/>
        <v>5851934.1699999999</v>
      </c>
      <c r="O20" s="886">
        <f t="shared" ca="1" si="9"/>
        <v>63.166617103557826</v>
      </c>
      <c r="P20" s="886">
        <f t="shared" ca="1" si="10"/>
        <v>81.396449213546163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5123883</v>
      </c>
      <c r="M21" s="893">
        <f t="shared" ca="1" si="12"/>
        <v>4133727.12</v>
      </c>
      <c r="N21" s="893">
        <f t="shared" ca="1" si="12"/>
        <v>2796239.36</v>
      </c>
      <c r="O21" s="893">
        <f t="shared" ca="1" si="9"/>
        <v>54.572662178273781</v>
      </c>
      <c r="P21" s="893">
        <f t="shared" ca="1" si="10"/>
        <v>67.644507700353472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5123883</v>
      </c>
      <c r="M23" s="899">
        <f t="shared" ca="1" si="13"/>
        <v>4133727.12</v>
      </c>
      <c r="N23" s="899">
        <f t="shared" ca="1" si="13"/>
        <v>2796239.36</v>
      </c>
      <c r="O23" s="899">
        <f t="shared" ca="1" si="9"/>
        <v>54.572662178273781</v>
      </c>
      <c r="P23" s="899">
        <f t="shared" ca="1" si="10"/>
        <v>67.644507700353472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4140400</v>
      </c>
      <c r="M24" s="893">
        <f t="shared" ca="1" si="14"/>
        <v>3055694.81</v>
      </c>
      <c r="N24" s="893">
        <f t="shared" ca="1" si="14"/>
        <v>3055694.81</v>
      </c>
      <c r="O24" s="893">
        <f t="shared" ca="1" si="9"/>
        <v>73.801922761085891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4140400</v>
      </c>
      <c r="M26" s="905">
        <f t="shared" ca="1" si="15"/>
        <v>3055694.81</v>
      </c>
      <c r="N26" s="905">
        <f t="shared" ca="1" si="15"/>
        <v>3055694.81</v>
      </c>
      <c r="O26" s="905">
        <f t="shared" ca="1" si="9"/>
        <v>73.801922761085891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2315871</v>
      </c>
      <c r="M28" s="879">
        <f t="shared" ca="1" si="16"/>
        <v>2315871</v>
      </c>
      <c r="N28" s="879">
        <f t="shared" si="16"/>
        <v>674215.1</v>
      </c>
      <c r="O28" s="879">
        <f t="shared" ref="O28:O37" ca="1" si="17">IF(L28&gt;0,N28*100/L28,0)</f>
        <v>29.112808960430005</v>
      </c>
      <c r="P28" s="879">
        <f t="shared" ref="P28:P37" ca="1" si="18">IF(M28&gt;0,N28*100/M28,0)</f>
        <v>29.112808960430005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2315871</v>
      </c>
      <c r="M30" s="886">
        <f t="shared" ca="1" si="19"/>
        <v>2315871</v>
      </c>
      <c r="N30" s="886">
        <f t="shared" si="19"/>
        <v>674215.1</v>
      </c>
      <c r="O30" s="886">
        <f t="shared" ca="1" si="17"/>
        <v>29.112808960430005</v>
      </c>
      <c r="P30" s="886">
        <f t="shared" ca="1" si="18"/>
        <v>29.112808960430005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2315871</v>
      </c>
      <c r="M31" s="893">
        <f t="shared" ca="1" si="20"/>
        <v>2315871</v>
      </c>
      <c r="N31" s="893">
        <f t="shared" si="20"/>
        <v>674215.1</v>
      </c>
      <c r="O31" s="893">
        <f t="shared" ca="1" si="17"/>
        <v>29.112808960430005</v>
      </c>
      <c r="P31" s="893">
        <f t="shared" ca="1" si="18"/>
        <v>29.112808960430005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2315871</v>
      </c>
      <c r="M33" s="899">
        <f t="shared" ca="1" si="21"/>
        <v>2315871</v>
      </c>
      <c r="N33" s="899">
        <f t="shared" si="21"/>
        <v>674215.1</v>
      </c>
      <c r="O33" s="899">
        <f t="shared" ca="1" si="17"/>
        <v>29.112808960430005</v>
      </c>
      <c r="P33" s="899">
        <f t="shared" ca="1" si="18"/>
        <v>29.112808960430005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9264283</v>
      </c>
      <c r="M37" s="912">
        <f t="shared" ca="1" si="24"/>
        <v>7189421.9299999997</v>
      </c>
      <c r="N37" s="912">
        <f t="shared" ca="1" si="24"/>
        <v>5851934.1699999999</v>
      </c>
      <c r="O37" s="912">
        <f t="shared" ca="1" si="17"/>
        <v>63.166617103557826</v>
      </c>
      <c r="P37" s="912">
        <f t="shared" ca="1" si="18"/>
        <v>81.396449213546163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704288</v>
      </c>
      <c r="M41" s="938">
        <f t="shared" ca="1" si="25"/>
        <v>728362.12</v>
      </c>
      <c r="N41" s="938">
        <f t="shared" ca="1" si="25"/>
        <v>500540.66</v>
      </c>
      <c r="O41" s="938">
        <f t="shared" ref="O41:O49" ca="1" si="26">IF(L41&gt;0,N41*100/L41,0)</f>
        <v>71.070451292653004</v>
      </c>
      <c r="P41" s="938">
        <f t="shared" ref="P41:P49" ca="1" si="27">IF(M41&gt;0,N41*100/M41,0)</f>
        <v>68.721401931226183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704288</v>
      </c>
      <c r="M43" s="944">
        <f t="shared" ca="1" si="28"/>
        <v>728362.12</v>
      </c>
      <c r="N43" s="944">
        <f t="shared" ca="1" si="28"/>
        <v>500540.66</v>
      </c>
      <c r="O43" s="944">
        <f t="shared" ca="1" si="26"/>
        <v>71.070451292653004</v>
      </c>
      <c r="P43" s="944">
        <f t="shared" ca="1" si="27"/>
        <v>68.721401931226183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704288</v>
      </c>
      <c r="M44" s="893">
        <f t="shared" ca="1" si="29"/>
        <v>728362.12</v>
      </c>
      <c r="N44" s="893">
        <f t="shared" ca="1" si="29"/>
        <v>500540.66</v>
      </c>
      <c r="O44" s="893">
        <f t="shared" ca="1" si="26"/>
        <v>71.070451292653004</v>
      </c>
      <c r="P44" s="893">
        <f t="shared" ca="1" si="27"/>
        <v>68.721401931226183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IFERROR(__xludf.DUMMYFUNCTION("IMPORTRANGE(""https://docs.google.com/spreadsheets/d/1MeEWN-I1oV_STSDYn1IFDPWt_1FKiwhDph83XaGc0o0/edit?usp=sharing"",""งบพรบ!M44"")"),704288)</f>
        <v>704288</v>
      </c>
      <c r="M46" s="899">
        <f ca="1">IFERROR(__xludf.DUMMYFUNCTION("IMPORTRANGE(""https://docs.google.com/spreadsheets/d/1MeEWN-I1oV_STSDYn1IFDPWt_1FKiwhDph83XaGc0o0/edit?usp=sharing"",""งบพรบ!R44"")"),728362.12)</f>
        <v>728362.12</v>
      </c>
      <c r="N46" s="899">
        <f ca="1">IFERROR(__xludf.DUMMYFUNCTION("IMPORTRANGE(""https://docs.google.com/spreadsheets/d/1MeEWN-I1oV_STSDYn1IFDPWt_1FKiwhDph83XaGc0o0/edit?usp=sharing"",""งบพรบ!T44"")"),500540.66)</f>
        <v>500540.66</v>
      </c>
      <c r="O46" s="899">
        <f t="shared" ca="1" si="26"/>
        <v>71.070451292653004</v>
      </c>
      <c r="P46" s="899">
        <f t="shared" ca="1" si="27"/>
        <v>68.721401931226183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IFERROR(__xludf.DUMMYFUNCTION("IMPORTRANGE(""https://docs.google.com/spreadsheets/d/1MeEWN-I1oV_STSDYn1IFDPWt_1FKiwhDph83XaGc0o0/edit?usp=sharing"",""งบพรบ!P44"")"),0)</f>
        <v>0</v>
      </c>
      <c r="M49" s="905">
        <f ca="1">IFERROR(__xludf.DUMMYFUNCTION("IMPORTRANGE(""https://docs.google.com/spreadsheets/d/1MeEWN-I1oV_STSDYn1IFDPWt_1FKiwhDph83XaGc0o0/edit?usp=sharing"",""งบพรบ!S44"")"),0)</f>
        <v>0</v>
      </c>
      <c r="N49" s="905">
        <f ca="1">IFERROR(__xludf.DUMMYFUNCTION("IMPORTRANGE(""https://docs.google.com/spreadsheets/d/1MeEWN-I1oV_STSDYn1IFDPWt_1FKiwhDph83XaGc0o0/edit?usp=sharing"",""งบพรบ!U44"")"),0)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4849400</v>
      </c>
      <c r="M53" s="968">
        <f t="shared" ca="1" si="31"/>
        <v>3556544.81</v>
      </c>
      <c r="N53" s="968">
        <f t="shared" ca="1" si="31"/>
        <v>3447993.24</v>
      </c>
      <c r="O53" s="968">
        <f t="shared" ref="O53:O61" ca="1" si="32">IF(L53&gt;0,N53*100/L53,0)</f>
        <v>71.101440178166371</v>
      </c>
      <c r="P53" s="968">
        <f t="shared" ref="P53:P61" ca="1" si="33">IF(M53&gt;0,N53*100/M53,0)</f>
        <v>96.947836290582259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4849400</v>
      </c>
      <c r="M55" s="974">
        <f t="shared" ca="1" si="34"/>
        <v>3556544.81</v>
      </c>
      <c r="N55" s="974">
        <f t="shared" ca="1" si="34"/>
        <v>3447993.24</v>
      </c>
      <c r="O55" s="974">
        <f t="shared" ca="1" si="32"/>
        <v>71.101440178166371</v>
      </c>
      <c r="P55" s="974">
        <f t="shared" ca="1" si="33"/>
        <v>96.947836290582259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835400</v>
      </c>
      <c r="M56" s="893">
        <f t="shared" ca="1" si="35"/>
        <v>626550</v>
      </c>
      <c r="N56" s="893">
        <f t="shared" ca="1" si="35"/>
        <v>517998.43</v>
      </c>
      <c r="O56" s="893">
        <f t="shared" ca="1" si="32"/>
        <v>62.006036629159681</v>
      </c>
      <c r="P56" s="893">
        <f t="shared" ca="1" si="33"/>
        <v>82.674715505546246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IFERROR(__xludf.DUMMYFUNCTION("IMPORTRANGE(""https://docs.google.com/spreadsheets/d/1MeEWN-I1oV_STSDYn1IFDPWt_1FKiwhDph83XaGc0o0/edit?usp=sharing"",""งบพรบ!W44"")"),835400)</f>
        <v>835400</v>
      </c>
      <c r="M58" s="899">
        <f ca="1">IFERROR(__xludf.DUMMYFUNCTION("IMPORTRANGE(""https://docs.google.com/spreadsheets/d/1MeEWN-I1oV_STSDYn1IFDPWt_1FKiwhDph83XaGc0o0/edit?usp=sharing"",""งบพรบ!AB44"")"),626550)</f>
        <v>626550</v>
      </c>
      <c r="N58" s="899">
        <f ca="1">IFERROR(__xludf.DUMMYFUNCTION("IMPORTRANGE(""https://docs.google.com/spreadsheets/d/1MeEWN-I1oV_STSDYn1IFDPWt_1FKiwhDph83XaGc0o0/edit?usp=sharing"",""งบพรบ!AD44"")"),517998.43)</f>
        <v>517998.43</v>
      </c>
      <c r="O58" s="899">
        <f t="shared" ca="1" si="32"/>
        <v>62.006036629159681</v>
      </c>
      <c r="P58" s="899">
        <f t="shared" ca="1" si="33"/>
        <v>82.674715505546246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4014000</v>
      </c>
      <c r="M59" s="893">
        <f t="shared" ca="1" si="36"/>
        <v>2929994.81</v>
      </c>
      <c r="N59" s="893">
        <f t="shared" ca="1" si="36"/>
        <v>2929994.81</v>
      </c>
      <c r="O59" s="893">
        <f t="shared" ca="1" si="32"/>
        <v>72.994389885401091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IFERROR(__xludf.DUMMYFUNCTION("IMPORTRANGE(""https://docs.google.com/spreadsheets/d/1MeEWN-I1oV_STSDYn1IFDPWt_1FKiwhDph83XaGc0o0/edit?usp=sharing"",""งบพรบ!Z44"")"),4014000)</f>
        <v>4014000</v>
      </c>
      <c r="M61" s="905">
        <f ca="1">IFERROR(__xludf.DUMMYFUNCTION("IMPORTRANGE(""https://docs.google.com/spreadsheets/d/1MeEWN-I1oV_STSDYn1IFDPWt_1FKiwhDph83XaGc0o0/edit?usp=sharing"",""งบพรบ!AC44"")"),2929994.81)</f>
        <v>2929994.81</v>
      </c>
      <c r="N61" s="905">
        <f ca="1">IFERROR(__xludf.DUMMYFUNCTION("IMPORTRANGE(""https://docs.google.com/spreadsheets/d/1MeEWN-I1oV_STSDYn1IFDPWt_1FKiwhDph83XaGc0o0/edit?usp=sharing"",""งบพรบ!AE44"")"),2929994.81)</f>
        <v>2929994.81</v>
      </c>
      <c r="O61" s="905">
        <f t="shared" ca="1" si="32"/>
        <v>72.994389885401091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71</v>
      </c>
      <c r="J65" s="994">
        <f t="shared" si="37"/>
        <v>71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937300</v>
      </c>
      <c r="M66" s="1004">
        <f t="shared" ca="1" si="39"/>
        <v>747630</v>
      </c>
      <c r="N66" s="1004">
        <f t="shared" ca="1" si="39"/>
        <v>599961.03</v>
      </c>
      <c r="O66" s="1004">
        <f t="shared" ref="O66:O74" ca="1" si="40">IF(L66&gt;0,N66*100/L66,0)</f>
        <v>64.00949855969273</v>
      </c>
      <c r="P66" s="1004">
        <f t="shared" ref="P66:P74" ca="1" si="41">IF(M66&gt;0,N66*100/M66,0)</f>
        <v>80.248388908952293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937300</v>
      </c>
      <c r="M68" s="899">
        <f t="shared" ca="1" si="42"/>
        <v>747630</v>
      </c>
      <c r="N68" s="899">
        <f t="shared" ca="1" si="42"/>
        <v>599961.03</v>
      </c>
      <c r="O68" s="899">
        <f t="shared" ca="1" si="40"/>
        <v>64.00949855969273</v>
      </c>
      <c r="P68" s="899">
        <f t="shared" ca="1" si="41"/>
        <v>80.248388908952293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937300</v>
      </c>
      <c r="M69" s="893">
        <f t="shared" ca="1" si="43"/>
        <v>747630</v>
      </c>
      <c r="N69" s="893">
        <f t="shared" ca="1" si="43"/>
        <v>599961.03</v>
      </c>
      <c r="O69" s="893">
        <f t="shared" ca="1" si="40"/>
        <v>64.00949855969273</v>
      </c>
      <c r="P69" s="893">
        <f t="shared" ca="1" si="41"/>
        <v>80.248388908952293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IFERROR(__xludf.DUMMYFUNCTION("IMPORTRANGE(""https://docs.google.com/spreadsheets/d/1MeEWN-I1oV_STSDYn1IFDPWt_1FKiwhDph83XaGc0o0/edit?usp=sharing"",""งบพรบ!AG44"")"),937300)</f>
        <v>937300</v>
      </c>
      <c r="M71" s="899">
        <f ca="1">IFERROR(__xludf.DUMMYFUNCTION("IMPORTRANGE(""https://docs.google.com/spreadsheets/d/1MeEWN-I1oV_STSDYn1IFDPWt_1FKiwhDph83XaGc0o0/edit?usp=sharing"",""งบพรบ!AL44"")"),747630)</f>
        <v>747630</v>
      </c>
      <c r="N71" s="899">
        <f ca="1">IFERROR(__xludf.DUMMYFUNCTION("IMPORTRANGE(""https://docs.google.com/spreadsheets/d/1MeEWN-I1oV_STSDYn1IFDPWt_1FKiwhDph83XaGc0o0/edit?usp=sharing"",""งบพรบ!AN44"")"),599961.03)</f>
        <v>599961.03</v>
      </c>
      <c r="O71" s="899">
        <f t="shared" ca="1" si="40"/>
        <v>64.00949855969273</v>
      </c>
      <c r="P71" s="899">
        <f t="shared" ca="1" si="41"/>
        <v>80.248388908952293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IFERROR(__xludf.DUMMYFUNCTION("IMPORTRANGE(""https://docs.google.com/spreadsheets/d/1MeEWN-I1oV_STSDYn1IFDPWt_1FKiwhDph83XaGc0o0/edit?usp=sharing"",""งบพรบ!AJ44"")"),0)</f>
        <v>0</v>
      </c>
      <c r="M74" s="899">
        <f ca="1">IFERROR(__xludf.DUMMYFUNCTION("IMPORTRANGE(""https://docs.google.com/spreadsheets/d/1MeEWN-I1oV_STSDYn1IFDPWt_1FKiwhDph83XaGc0o0/edit?usp=sharing"",""งบพรบ!AM44"")"),0)</f>
        <v>0</v>
      </c>
      <c r="N74" s="899">
        <f ca="1">IFERROR(__xludf.DUMMYFUNCTION("IMPORTRANGE(""https://docs.google.com/spreadsheets/d/1MeEWN-I1oV_STSDYn1IFDPWt_1FKiwhDph83XaGc0o0/edit?usp=sharing"",""งบพรบ!AO44"")"),0)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71</v>
      </c>
      <c r="J77" s="892">
        <f t="shared" si="45"/>
        <v>71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IFERROR(__xludf.DUMMYFUNCTION("IMPORTRANGE(""https://docs.google.com/spreadsheets/d/1QqKyyYR6Q21VydFLVH3TRQUabQu_ym0Zz7PgGX0-kHA/edit?usp=sharing"",""แผน!H44"")"),0)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IFERROR(__xludf.DUMMYFUNCTION("IMPORTRANGE(""https://docs.google.com/spreadsheets/d/1QqKyyYR6Q21VydFLVH3TRQUabQu_ym0Zz7PgGX0-kHA/edit?usp=sharing"",""แผน!I44"")"),0)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IFERROR(__xludf.DUMMYFUNCTION("IMPORTRANGE(""https://docs.google.com/spreadsheets/d/1QqKyyYR6Q21VydFLVH3TRQUabQu_ym0Zz7PgGX0-kHA/edit?usp=sharing"",""แผน!F44"")"),0)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IFERROR(__xludf.DUMMYFUNCTION("IMPORTRANGE(""https://docs.google.com/spreadsheets/d/1QqKyyYR6Q21VydFLVH3TRQUabQu_ym0Zz7PgGX0-kHA/edit?usp=sharing"",""แผน!G44"")"),0)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IFERROR(__xludf.DUMMYFUNCTION("IMPORTRANGE(""https://docs.google.com/spreadsheets/d/1QqKyyYR6Q21VydFLVH3TRQUabQu_ym0Zz7PgGX0-kHA/edit?usp=sharing"",""แผน!D44"")"),1)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IFERROR(__xludf.DUMMYFUNCTION("IMPORTRANGE(""https://docs.google.com/spreadsheets/d/1QqKyyYR6Q21VydFLVH3TRQUabQu_ym0Zz7PgGX0-kHA/edit?usp=sharing"",""แผน!E44"")"),71)</f>
        <v>71</v>
      </c>
      <c r="J83" s="1024">
        <v>71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IFERROR(__xludf.DUMMYFUNCTION("IMPORTRANGE(""https://docs.google.com/spreadsheets/d/1QqKyyYR6Q21VydFLVH3TRQUabQu_ym0Zz7PgGX0-kHA/edit?usp=sharing"",""แผน!J44"")"),1)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45</v>
      </c>
      <c r="J86" s="994">
        <f t="shared" si="47"/>
        <v>45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15</v>
      </c>
      <c r="J87" s="994">
        <f t="shared" si="47"/>
        <v>15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38860</v>
      </c>
      <c r="M88" s="1004">
        <f t="shared" ca="1" si="49"/>
        <v>34360</v>
      </c>
      <c r="N88" s="1004">
        <f t="shared" ca="1" si="49"/>
        <v>32610</v>
      </c>
      <c r="O88" s="1004">
        <f t="shared" ref="O88:O96" ca="1" si="50">IF(L88&gt;0,N88*100/L88,0)</f>
        <v>83.916623777663403</v>
      </c>
      <c r="P88" s="1004">
        <f t="shared" ref="P88:P96" ca="1" si="51">IF(M88&gt;0,N88*100/M88,0)</f>
        <v>94.906868451688013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38860</v>
      </c>
      <c r="M90" s="899">
        <f t="shared" ca="1" si="52"/>
        <v>34360</v>
      </c>
      <c r="N90" s="899">
        <f t="shared" ca="1" si="52"/>
        <v>32610</v>
      </c>
      <c r="O90" s="899">
        <f t="shared" ca="1" si="50"/>
        <v>83.916623777663403</v>
      </c>
      <c r="P90" s="899">
        <f t="shared" ca="1" si="51"/>
        <v>94.906868451688013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38860</v>
      </c>
      <c r="M91" s="893">
        <f t="shared" ca="1" si="53"/>
        <v>34360</v>
      </c>
      <c r="N91" s="893">
        <f t="shared" ca="1" si="53"/>
        <v>32610</v>
      </c>
      <c r="O91" s="893">
        <f t="shared" ca="1" si="50"/>
        <v>83.916623777663403</v>
      </c>
      <c r="P91" s="893">
        <f t="shared" ca="1" si="51"/>
        <v>94.906868451688013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IFERROR(__xludf.DUMMYFUNCTION("IMPORTRANGE(""https://docs.google.com/spreadsheets/d/1MeEWN-I1oV_STSDYn1IFDPWt_1FKiwhDph83XaGc0o0/edit?usp=sharing"",""งบพรบ!AQ44"")"),38860)</f>
        <v>38860</v>
      </c>
      <c r="M93" s="899">
        <f ca="1">IFERROR(__xludf.DUMMYFUNCTION("IMPORTRANGE(""https://docs.google.com/spreadsheets/d/1MeEWN-I1oV_STSDYn1IFDPWt_1FKiwhDph83XaGc0o0/edit?usp=sharing"",""งบพรบ!AV44"")"),34360)</f>
        <v>34360</v>
      </c>
      <c r="N93" s="899">
        <f ca="1">IFERROR(__xludf.DUMMYFUNCTION("IMPORTRANGE(""https://docs.google.com/spreadsheets/d/1MeEWN-I1oV_STSDYn1IFDPWt_1FKiwhDph83XaGc0o0/edit?usp=sharing"",""งบพรบ!AX44"")"),32610)</f>
        <v>32610</v>
      </c>
      <c r="O93" s="899">
        <f t="shared" ca="1" si="50"/>
        <v>83.916623777663403</v>
      </c>
      <c r="P93" s="899">
        <f t="shared" ca="1" si="51"/>
        <v>94.906868451688013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IFERROR(__xludf.DUMMYFUNCTION("IMPORTRANGE(""https://docs.google.com/spreadsheets/d/1MeEWN-I1oV_STSDYn1IFDPWt_1FKiwhDph83XaGc0o0/edit?usp=sharing"",""งบพรบ!AT44"")"),0)</f>
        <v>0</v>
      </c>
      <c r="M96" s="899">
        <f ca="1">IFERROR(__xludf.DUMMYFUNCTION("IMPORTRANGE(""https://docs.google.com/spreadsheets/d/1MeEWN-I1oV_STSDYn1IFDPWt_1FKiwhDph83XaGc0o0/edit?usp=sharing"",""งบพรบ!AW44"")"),0)</f>
        <v>0</v>
      </c>
      <c r="N96" s="899">
        <f ca="1">IFERROR(__xludf.DUMMYFUNCTION("IMPORTRANGE(""https://docs.google.com/spreadsheets/d/1MeEWN-I1oV_STSDYn1IFDPWt_1FKiwhDph83XaGc0o0/edit?usp=sharing"",""งบพรบ!AY44"")"),0)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IFERROR(__xludf.DUMMYFUNCTION("IMPORTRANGE(""https://docs.google.com/spreadsheets/d/1QqKyyYR6Q21VydFLVH3TRQUabQu_ym0Zz7PgGX0-kHA/edit?usp=sharing"",""แผน!K44"")"),45)</f>
        <v>45</v>
      </c>
      <c r="J98" s="892">
        <f>J102</f>
        <v>45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IFERROR(__xludf.DUMMYFUNCTION("IMPORTRANGE(""https://docs.google.com/spreadsheets/d/1QqKyyYR6Q21VydFLVH3TRQUabQu_ym0Zz7PgGX0-kHA/edit?usp=sharing"",""แผน!L44"")"),15)</f>
        <v>15</v>
      </c>
      <c r="J99" s="892">
        <f>J104</f>
        <v>15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IFERROR(__xludf.DUMMYFUNCTION("IMPORTRANGE(""https://docs.google.com/spreadsheets/d/1QqKyyYR6Q21VydFLVH3TRQUabQu_ym0Zz7PgGX0-kHA/edit?usp=sharing"",""แผน!M44"")"),0)</f>
        <v>0</v>
      </c>
      <c r="J100" s="892">
        <f>J107+J110</f>
        <v>0</v>
      </c>
      <c r="K100" s="893">
        <f t="shared" ca="1" si="55"/>
        <v>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IFERROR(__xludf.DUMMYFUNCTION("IMPORTRANGE(""https://docs.google.com/spreadsheets/d/1QqKyyYR6Q21VydFLVH3TRQUabQu_ym0Zz7PgGX0-kHA/edit?usp=sharing"",""แผน!N44"")"),45)</f>
        <v>45</v>
      </c>
      <c r="J102" s="1024">
        <v>45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IFERROR(__xludf.DUMMYFUNCTION("IMPORTRANGE(""https://docs.google.com/spreadsheets/d/1QqKyyYR6Q21VydFLVH3TRQUabQu_ym0Zz7PgGX0-kHA/edit?usp=sharing"",""แผน!O44"")"),15)</f>
        <v>15</v>
      </c>
      <c r="J103" s="1024">
        <v>15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IFERROR(__xludf.DUMMYFUNCTION("IMPORTRANGE(""https://docs.google.com/spreadsheets/d/1QqKyyYR6Q21VydFLVH3TRQUabQu_ym0Zz7PgGX0-kHA/edit?usp=sharing"",""แผน!O44"")"),15)</f>
        <v>15</v>
      </c>
      <c r="J104" s="1024">
        <v>15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IFERROR(__xludf.DUMMYFUNCTION("IMPORTRANGE(""https://docs.google.com/spreadsheets/d/1QqKyyYR6Q21VydFLVH3TRQUabQu_ym0Zz7PgGX0-kHA/edit?usp=sharing"",""แผน!P44"")"),0)</f>
        <v>0</v>
      </c>
      <c r="J106" s="1024">
        <v>0</v>
      </c>
      <c r="K106" s="893">
        <f t="shared" ref="K106:K107" ca="1" si="57">IF(I106&gt;0,J106*100/I106,0)</f>
        <v>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IFERROR(__xludf.DUMMYFUNCTION("IMPORTRANGE(""https://docs.google.com/spreadsheets/d/1QqKyyYR6Q21VydFLVH3TRQUabQu_ym0Zz7PgGX0-kHA/edit?usp=sharing"",""แผน!P44"")"),0)</f>
        <v>0</v>
      </c>
      <c r="J107" s="1024">
        <v>0</v>
      </c>
      <c r="K107" s="893">
        <f t="shared" ca="1" si="57"/>
        <v>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IFERROR(__xludf.DUMMYFUNCTION("IMPORTRANGE(""https://docs.google.com/spreadsheets/d/1QqKyyYR6Q21VydFLVH3TRQUabQu_ym0Zz7PgGX0-kHA/edit?usp=sharing"",""แผน!Q44"")"),0)</f>
        <v>0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IFERROR(__xludf.DUMMYFUNCTION("IMPORTRANGE(""https://docs.google.com/spreadsheets/d/1QqKyyYR6Q21VydFLVH3TRQUabQu_ym0Zz7PgGX0-kHA/edit?usp=sharing"",""แผน!Q44"")"),0)</f>
        <v>0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IFERROR(__xludf.DUMMYFUNCTION("IMPORTRANGE(""https://docs.google.com/spreadsheets/d/1QqKyyYR6Q21VydFLVH3TRQUabQu_ym0Zz7PgGX0-kHA/edit?usp=sharing"",""แผน!R44"")"),15)</f>
        <v>15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0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IFERROR(__xludf.DUMMYFUNCTION("IMPORTRANGE(""https://docs.google.com/spreadsheets/d/1QqKyyYR6Q21VydFLVH3TRQUabQu_ym0Zz7PgGX0-kHA/edit?usp=sharing"",""แผน!R44"")"),15)</f>
        <v>15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IFERROR(__xludf.DUMMYFUNCTION("IMPORTRANGE(""https://docs.google.com/spreadsheets/d/1QqKyyYR6Q21VydFLVH3TRQUabQu_ym0Zz7PgGX0-kHA/edit?usp=sharing"",""แผน!R44"")"),15)</f>
        <v>15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IFERROR(__xludf.DUMMYFUNCTION("IMPORTRANGE(""https://docs.google.com/spreadsheets/d/1QqKyyYR6Q21VydFLVH3TRQUabQu_ym0Zz7PgGX0-kHA/edit?usp=sharing"",""แผน!S44"")"),0)</f>
        <v>0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IFERROR(__xludf.DUMMYFUNCTION("IMPORTRANGE(""https://docs.google.com/spreadsheets/d/1QqKyyYR6Q21VydFLVH3TRQUabQu_ym0Zz7PgGX0-kHA/edit?usp=sharing"",""แผน!T44"")"),0)</f>
        <v>0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IFERROR(__xludf.DUMMYFUNCTION("IMPORTRANGE(""https://docs.google.com/spreadsheets/d/1MeEWN-I1oV_STSDYn1IFDPWt_1FKiwhDph83XaGc0o0/edit?usp=sharing"",""งบพรบ!BA44"")"),0)</f>
        <v>0</v>
      </c>
      <c r="M124" s="899">
        <f ca="1">IFERROR(__xludf.DUMMYFUNCTION("IMPORTRANGE(""https://docs.google.com/spreadsheets/d/1MeEWN-I1oV_STSDYn1IFDPWt_1FKiwhDph83XaGc0o0/edit?usp=sharing"",""งบพรบ!BF44"")"),0)</f>
        <v>0</v>
      </c>
      <c r="N124" s="899">
        <f ca="1">IFERROR(__xludf.DUMMYFUNCTION("IMPORTRANGE(""https://docs.google.com/spreadsheets/d/1MeEWN-I1oV_STSDYn1IFDPWt_1FKiwhDph83XaGc0o0/edit?usp=sharing"",""งบพรบ!BH44"")"),0)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IFERROR(__xludf.DUMMYFUNCTION("IMPORTRANGE(""https://docs.google.com/spreadsheets/d/1MeEWN-I1oV_STSDYn1IFDPWt_1FKiwhDph83XaGc0o0/edit?usp=sharing"",""งบพรบ!BD44"")"),0)</f>
        <v>0</v>
      </c>
      <c r="M127" s="899">
        <f ca="1">IFERROR(__xludf.DUMMYFUNCTION("IMPORTRANGE(""https://docs.google.com/spreadsheets/d/1MeEWN-I1oV_STSDYn1IFDPWt_1FKiwhDph83XaGc0o0/edit?usp=sharing"",""งบพรบ!BG44"")"),0)</f>
        <v>0</v>
      </c>
      <c r="N127" s="899">
        <f ca="1">IFERROR(__xludf.DUMMYFUNCTION("IMPORTRANGE(""https://docs.google.com/spreadsheets/d/1MeEWN-I1oV_STSDYn1IFDPWt_1FKiwhDph83XaGc0o0/edit?usp=sharing"",""งบพรบ!BI44"")"),0)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IFERROR(__xludf.DUMMYFUNCTION("IMPORTRANGE(""https://docs.google.com/spreadsheets/d/1MeEWN-I1oV_STSDYn1IFDPWt_1FKiwhDph83XaGc0o0/edit?usp=sharing"",""งบพรบ!BK44"")"),0)</f>
        <v>0</v>
      </c>
      <c r="M137" s="899">
        <f ca="1">IFERROR(__xludf.DUMMYFUNCTION("IMPORTRANGE(""https://docs.google.com/spreadsheets/d/1MeEWN-I1oV_STSDYn1IFDPWt_1FKiwhDph83XaGc0o0/edit?usp=sharing"",""งบพรบ!BP44"")"),0)</f>
        <v>0</v>
      </c>
      <c r="N137" s="899">
        <f ca="1">IFERROR(__xludf.DUMMYFUNCTION("IMPORTRANGE(""https://docs.google.com/spreadsheets/d/1MeEWN-I1oV_STSDYn1IFDPWt_1FKiwhDph83XaGc0o0/edit?usp=sharing"",""งบพรบ!BR44"")"),0)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IFERROR(__xludf.DUMMYFUNCTION("IMPORTRANGE(""https://docs.google.com/spreadsheets/d/1MeEWN-I1oV_STSDYn1IFDPWt_1FKiwhDph83XaGc0o0/edit?usp=sharing"",""งบพรบ!BN44"")"),0)</f>
        <v>0</v>
      </c>
      <c r="M140" s="899">
        <f ca="1">IFERROR(__xludf.DUMMYFUNCTION("IMPORTRANGE(""https://docs.google.com/spreadsheets/d/1MeEWN-I1oV_STSDYn1IFDPWt_1FKiwhDph83XaGc0o0/edit?usp=sharing"",""งบพรบ!BQ44"")"),0)</f>
        <v>0</v>
      </c>
      <c r="N140" s="899">
        <f ca="1">IFERROR(__xludf.DUMMYFUNCTION("IMPORTRANGE(""https://docs.google.com/spreadsheets/d/1MeEWN-I1oV_STSDYn1IFDPWt_1FKiwhDph83XaGc0o0/edit?usp=sharing"",""งบพรบ!BS44"")"),0)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IFERROR(__xludf.DUMMYFUNCTION("IMPORTRANGE(""https://docs.google.com/spreadsheets/d/1QqKyyYR6Q21VydFLVH3TRQUabQu_ym0Zz7PgGX0-kHA/edit?usp=sharing"",""แผน!U44"")"),0)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IFERROR(__xludf.DUMMYFUNCTION("IMPORTRANGE(""https://docs.google.com/spreadsheets/d/1QqKyyYR6Q21VydFLVH3TRQUabQu_ym0Zz7PgGX0-kHA/edit?usp=sharing"",""แผน!V44"")"),0)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IFERROR(__xludf.DUMMYFUNCTION("IMPORTRANGE(""https://docs.google.com/spreadsheets/d/1QqKyyYR6Q21VydFLVH3TRQUabQu_ym0Zz7PgGX0-kHA/edit?usp=sharing"",""แผน!W44"")"),0)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8170</v>
      </c>
      <c r="N149" s="1004">
        <f t="shared" ca="1" si="77"/>
        <v>8170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100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8170</v>
      </c>
      <c r="N151" s="899">
        <f t="shared" ca="1" si="80"/>
        <v>8170</v>
      </c>
      <c r="O151" s="899">
        <f t="shared" ca="1" si="78"/>
        <v>0</v>
      </c>
      <c r="P151" s="899">
        <f t="shared" ca="1" si="79"/>
        <v>100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8170</v>
      </c>
      <c r="N152" s="893">
        <f t="shared" ca="1" si="81"/>
        <v>8170</v>
      </c>
      <c r="O152" s="893">
        <f t="shared" ca="1" si="78"/>
        <v>0</v>
      </c>
      <c r="P152" s="893">
        <f t="shared" ca="1" si="79"/>
        <v>100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IFERROR(__xludf.DUMMYFUNCTION("IMPORTRANGE(""https://docs.google.com/spreadsheets/d/1MeEWN-I1oV_STSDYn1IFDPWt_1FKiwhDph83XaGc0o0/edit?usp=sharing"",""งบพรบ!BU44"")"),0)</f>
        <v>0</v>
      </c>
      <c r="M154" s="899">
        <f ca="1">IFERROR(__xludf.DUMMYFUNCTION("IMPORTRANGE(""https://docs.google.com/spreadsheets/d/1MeEWN-I1oV_STSDYn1IFDPWt_1FKiwhDph83XaGc0o0/edit?usp=sharing"",""งบพรบ!BZ44"")"),8170)</f>
        <v>8170</v>
      </c>
      <c r="N154" s="899">
        <f ca="1">IFERROR(__xludf.DUMMYFUNCTION("IMPORTRANGE(""https://docs.google.com/spreadsheets/d/1MeEWN-I1oV_STSDYn1IFDPWt_1FKiwhDph83XaGc0o0/edit?usp=sharing"",""งบพรบ!CB44"")"),8170)</f>
        <v>8170</v>
      </c>
      <c r="O154" s="899">
        <f t="shared" ca="1" si="78"/>
        <v>0</v>
      </c>
      <c r="P154" s="899">
        <f t="shared" ca="1" si="79"/>
        <v>100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IFERROR(__xludf.DUMMYFUNCTION("IMPORTRANGE(""https://docs.google.com/spreadsheets/d/1MeEWN-I1oV_STSDYn1IFDPWt_1FKiwhDph83XaGc0o0/edit?usp=sharing"",""งบพรบ!BX44"")"),0)</f>
        <v>0</v>
      </c>
      <c r="M157" s="899">
        <f ca="1">IFERROR(__xludf.DUMMYFUNCTION("IMPORTRANGE(""https://docs.google.com/spreadsheets/d/1MeEWN-I1oV_STSDYn1IFDPWt_1FKiwhDph83XaGc0o0/edit?usp=sharing"",""งบพรบ!CA44"")"),0)</f>
        <v>0</v>
      </c>
      <c r="N157" s="899">
        <f ca="1">IFERROR(__xludf.DUMMYFUNCTION("IMPORTRANGE(""https://docs.google.com/spreadsheets/d/1MeEWN-I1oV_STSDYn1IFDPWt_1FKiwhDph83XaGc0o0/edit?usp=sharing"",""งบพรบ!CC44"")"),0)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IFERROR(__xludf.DUMMYFUNCTION("IMPORTRANGE(""https://docs.google.com/spreadsheets/d/1QqKyyYR6Q21VydFLVH3TRQUabQu_ym0Zz7PgGX0-kHA/edit?usp=sharing"",""แผน!X44"")"),0)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IFERROR(__xludf.DUMMYFUNCTION("IMPORTRANGE(""https://docs.google.com/spreadsheets/d/1MeEWN-I1oV_STSDYn1IFDPWt_1FKiwhDph83XaGc0o0/edit?usp=sharing"",""งบพรบ!CE44"")"),22055)</f>
        <v>22055</v>
      </c>
      <c r="M170" s="899">
        <f ca="1">IFERROR(__xludf.DUMMYFUNCTION("IMPORTRANGE(""https://docs.google.com/spreadsheets/d/1MeEWN-I1oV_STSDYn1IFDPWt_1FKiwhDph83XaGc0o0/edit?usp=sharing"",""งบพรบ!CJ44"")"),22055)</f>
        <v>22055</v>
      </c>
      <c r="N170" s="899">
        <f ca="1">IFERROR(__xludf.DUMMYFUNCTION("IMPORTRANGE(""https://docs.google.com/spreadsheets/d/1MeEWN-I1oV_STSDYn1IFDPWt_1FKiwhDph83XaGc0o0/edit?usp=sharing"",""งบพรบ!CL44"")"),22055)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IFERROR(__xludf.DUMMYFUNCTION("IMPORTRANGE(""https://docs.google.com/spreadsheets/d/1MeEWN-I1oV_STSDYn1IFDPWt_1FKiwhDph83XaGc0o0/edit?usp=sharing"",""งบพรบ!CH44"")"),0)</f>
        <v>0</v>
      </c>
      <c r="M173" s="899">
        <f ca="1">IFERROR(__xludf.DUMMYFUNCTION("IMPORTRANGE(""https://docs.google.com/spreadsheets/d/1MeEWN-I1oV_STSDYn1IFDPWt_1FKiwhDph83XaGc0o0/edit?usp=sharing"",""งบพรบ!CK44"")"),0)</f>
        <v>0</v>
      </c>
      <c r="N173" s="899">
        <f ca="1">IFERROR(__xludf.DUMMYFUNCTION("IMPORTRANGE(""https://docs.google.com/spreadsheets/d/1MeEWN-I1oV_STSDYn1IFDPWt_1FKiwhDph83XaGc0o0/edit?usp=sharing"",""งบพรบ!CM44"")"),0)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IFERROR(__xludf.DUMMYFUNCTION("IMPORTRANGE(""https://docs.google.com/spreadsheets/d/1QqKyyYR6Q21VydFLVH3TRQUabQu_ym0Zz7PgGX0-kHA/edit?usp=sharing"",""แผน!Y44"")"),11)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78500</v>
      </c>
      <c r="M181" s="1004">
        <f t="shared" ca="1" si="92"/>
        <v>73500</v>
      </c>
      <c r="N181" s="1004">
        <f t="shared" ca="1" si="92"/>
        <v>33712</v>
      </c>
      <c r="O181" s="1004">
        <f t="shared" ref="O181:O189" ca="1" si="93">IF(L181&gt;0,N181*100/L181,0)</f>
        <v>42.945222929936307</v>
      </c>
      <c r="P181" s="1004">
        <f t="shared" ref="P181:P189" ca="1" si="94">IF(M181&gt;0,N181*100/M181,0)</f>
        <v>45.866666666666667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78500</v>
      </c>
      <c r="M183" s="899">
        <f t="shared" ca="1" si="95"/>
        <v>73500</v>
      </c>
      <c r="N183" s="899">
        <f t="shared" ca="1" si="95"/>
        <v>33712</v>
      </c>
      <c r="O183" s="899">
        <f t="shared" ca="1" si="93"/>
        <v>42.945222929936307</v>
      </c>
      <c r="P183" s="899">
        <f t="shared" ca="1" si="94"/>
        <v>45.866666666666667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78500</v>
      </c>
      <c r="M184" s="893">
        <f t="shared" ca="1" si="96"/>
        <v>73500</v>
      </c>
      <c r="N184" s="893">
        <f t="shared" ca="1" si="96"/>
        <v>33712</v>
      </c>
      <c r="O184" s="893">
        <f t="shared" ca="1" si="93"/>
        <v>42.945222929936307</v>
      </c>
      <c r="P184" s="893">
        <f t="shared" ca="1" si="94"/>
        <v>45.866666666666667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IFERROR(__xludf.DUMMYFUNCTION("IMPORTRANGE(""https://docs.google.com/spreadsheets/d/1MeEWN-I1oV_STSDYn1IFDPWt_1FKiwhDph83XaGc0o0/edit?usp=sharing"",""งบพรบ!CO44"")"),78500)</f>
        <v>78500</v>
      </c>
      <c r="M186" s="899">
        <f ca="1">IFERROR(__xludf.DUMMYFUNCTION("IMPORTRANGE(""https://docs.google.com/spreadsheets/d/1MeEWN-I1oV_STSDYn1IFDPWt_1FKiwhDph83XaGc0o0/edit?usp=sharing"",""งบพรบ!CT44"")"),73500)</f>
        <v>73500</v>
      </c>
      <c r="N186" s="899">
        <f ca="1">IFERROR(__xludf.DUMMYFUNCTION("IMPORTRANGE(""https://docs.google.com/spreadsheets/d/1MeEWN-I1oV_STSDYn1IFDPWt_1FKiwhDph83XaGc0o0/edit?usp=sharing"",""งบพรบ!CV44"")"),33712)</f>
        <v>33712</v>
      </c>
      <c r="O186" s="899">
        <f t="shared" ca="1" si="93"/>
        <v>42.945222929936307</v>
      </c>
      <c r="P186" s="899">
        <f t="shared" ca="1" si="94"/>
        <v>45.866666666666667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IFERROR(__xludf.DUMMYFUNCTION("IMPORTRANGE(""https://docs.google.com/spreadsheets/d/1MeEWN-I1oV_STSDYn1IFDPWt_1FKiwhDph83XaGc0o0/edit?usp=sharing"",""งบพรบ!CR44"")"),0)</f>
        <v>0</v>
      </c>
      <c r="M189" s="899">
        <f ca="1">IFERROR(__xludf.DUMMYFUNCTION("IMPORTRANGE(""https://docs.google.com/spreadsheets/d/1MeEWN-I1oV_STSDYn1IFDPWt_1FKiwhDph83XaGc0o0/edit?usp=sharing"",""งบพรบ!CU44"")"),0)</f>
        <v>0</v>
      </c>
      <c r="N189" s="899">
        <f ca="1">IFERROR(__xludf.DUMMYFUNCTION("IMPORTRANGE(""https://docs.google.com/spreadsheets/d/1MeEWN-I1oV_STSDYn1IFDPWt_1FKiwhDph83XaGc0o0/edit?usp=sharing"",""งบพรบ!CW44"")"),0)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IFERROR(__xludf.DUMMYFUNCTION("IMPORTRANGE(""https://docs.google.com/spreadsheets/d/1QqKyyYR6Q21VydFLVH3TRQUabQu_ym0Zz7PgGX0-kHA/edit?usp=sharing"",""แผน!Z44"")"),6000)</f>
        <v>6000</v>
      </c>
      <c r="M191" s="1004"/>
      <c r="N191" s="1092">
        <v>3000</v>
      </c>
      <c r="O191" s="1004">
        <f ca="1">IF(L191&gt;0,N191*100/L191,0)</f>
        <v>50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IFERROR(__xludf.DUMMYFUNCTION("IMPORTRANGE(""https://docs.google.com/spreadsheets/d/1QqKyyYR6Q21VydFLVH3TRQUabQu_ym0Zz7PgGX0-kHA/edit?usp=sharing"",""แผน!AC44"")"),4)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75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f>40+35</f>
        <v>75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4</v>
      </c>
      <c r="J197" s="1089">
        <f t="shared" si="99"/>
        <v>4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52000</v>
      </c>
      <c r="M198" s="1004"/>
      <c r="N198" s="1004">
        <f>N199+N200+N201+N202</f>
        <v>22510</v>
      </c>
      <c r="O198" s="1004">
        <f ca="1">IF(L198&gt;0,N198*100/L198,0)</f>
        <v>43.28846153846154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IFERROR(__xludf.DUMMYFUNCTION("IMPORTRANGE(""https://docs.google.com/spreadsheets/d/1QqKyyYR6Q21VydFLVH3TRQUabQu_ym0Zz7PgGX0-kHA/edit?usp=sharing"",""แผน!AE44"")"),4000)</f>
        <v>4000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IFERROR(__xludf.DUMMYFUNCTION("IMPORTRANGE(""https://docs.google.com/spreadsheets/d/1QqKyyYR6Q21VydFLVH3TRQUabQu_ym0Zz7PgGX0-kHA/edit?usp=sharing"",""แผน!AF44"")"),32000)</f>
        <v>32000</v>
      </c>
      <c r="M200" s="893"/>
      <c r="N200" s="1096">
        <v>22510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IFERROR(__xludf.DUMMYFUNCTION("IMPORTRANGE(""https://docs.google.com/spreadsheets/d/1QqKyyYR6Q21VydFLVH3TRQUabQu_ym0Zz7PgGX0-kHA/edit?usp=sharing"",""แผน!AG44"")"),16000)</f>
        <v>16000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IFERROR(__xludf.DUMMYFUNCTION("IMPORTRANGE(""https://docs.google.com/spreadsheets/d/1QqKyyYR6Q21VydFLVH3TRQUabQu_ym0Zz7PgGX0-kHA/edit?usp=sharing"",""แผน!AH44"")"),0)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IFERROR(__xludf.DUMMYFUNCTION("IMPORTRANGE(""https://docs.google.com/spreadsheets/d/1QqKyyYR6Q21VydFLVH3TRQUabQu_ym0Zz7PgGX0-kHA/edit?usp=sharing"",""แผน!AI44"")"),4)</f>
        <v>4</v>
      </c>
      <c r="J204" s="1024">
        <v>4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4</v>
      </c>
      <c r="J206" s="1024">
        <v>0</v>
      </c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8202</v>
      </c>
      <c r="O209" s="1004">
        <f ca="1">IF(L209&gt;0,N209*100/L209,0)</f>
        <v>58.585714285714289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IFERROR(__xludf.DUMMYFUNCTION("IMPORTRANGE(""https://docs.google.com/spreadsheets/d/1QqKyyYR6Q21VydFLVH3TRQUabQu_ym0Zz7PgGX0-kHA/edit?usp=sharing"",""แผน!AK44"")"),1000)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IFERROR(__xludf.DUMMYFUNCTION("IMPORTRANGE(""https://docs.google.com/spreadsheets/d/1QqKyyYR6Q21VydFLVH3TRQUabQu_ym0Zz7PgGX0-kHA/edit?usp=sharing"",""แผน!AL44"")"),5000)</f>
        <v>5000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IFERROR(__xludf.DUMMYFUNCTION("IMPORTRANGE(""https://docs.google.com/spreadsheets/d/1QqKyyYR6Q21VydFLVH3TRQUabQu_ym0Zz7PgGX0-kHA/edit?usp=sharing"",""แผน!AM44"")"),8000)</f>
        <v>8000</v>
      </c>
      <c r="M212" s="893"/>
      <c r="N212" s="1096">
        <v>8202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IFERROR(__xludf.DUMMYFUNCTION("IMPORTRANGE(""https://docs.google.com/spreadsheets/d/1QqKyyYR6Q21VydFLVH3TRQUabQu_ym0Zz7PgGX0-kHA/edit?usp=sharing"",""แผน!AN44"")"),1)</f>
        <v>1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IFERROR(__xludf.DUMMYFUNCTION("IMPORTRANGE(""https://docs.google.com/spreadsheets/d/1QqKyyYR6Q21VydFLVH3TRQUabQu_ym0Zz7PgGX0-kHA/edit?usp=sharing"",""แผน!AN44"")"),1)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6500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IFERROR(__xludf.DUMMYFUNCTION("IMPORTRANGE(""https://docs.google.com/spreadsheets/d/1QqKyyYR6Q21VydFLVH3TRQUabQu_ym0Zz7PgGX0-kHA/edit?usp=sharing"",""แผน!AP44"")"),3000)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IFERROR(__xludf.DUMMYFUNCTION("IMPORTRANGE(""https://docs.google.com/spreadsheets/d/1QqKyyYR6Q21VydFLVH3TRQUabQu_ym0Zz7PgGX0-kHA/edit?usp=sharing"",""แผน!AQ44"")"),3500)</f>
        <v>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IFERROR(__xludf.DUMMYFUNCTION("IMPORTRANGE(""https://docs.google.com/spreadsheets/d/1QqKyyYR6Q21VydFLVH3TRQUabQu_ym0Zz7PgGX0-kHA/edit?usp=sharing"",""แผน!AR44"")"),0)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IFERROR(__xludf.DUMMYFUNCTION("IMPORTRANGE(""https://docs.google.com/spreadsheets/d/1QqKyyYR6Q21VydFLVH3TRQUabQu_ym0Zz7PgGX0-kHA/edit?usp=sharing"",""แผน!AT44"")"),10000)</f>
        <v>10000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IFERROR(__xludf.DUMMYFUNCTION("IMPORTRANGE(""https://docs.google.com/spreadsheets/d/1QqKyyYR6Q21VydFLVH3TRQUabQu_ym0Zz7PgGX0-kHA/edit?usp=sharing"",""แผน!AT44"")"),10000)</f>
        <v>10000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IFERROR(__xludf.DUMMYFUNCTION("IMPORTRANGE(""https://docs.google.com/spreadsheets/d/1QqKyyYR6Q21VydFLVH3TRQUabQu_ym0Zz7PgGX0-kHA/edit?usp=sharing"",""แผน!AS44"")"),0)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IFERROR(__xludf.DUMMYFUNCTION("IMPORTRANGE(""https://docs.google.com/spreadsheets/d/1QqKyyYR6Q21VydFLVH3TRQUabQu_ym0Zz7PgGX0-kHA/edit?usp=sharing"",""แผน!AV44"")"),0)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IFERROR(__xludf.DUMMYFUNCTION("IMPORTRANGE(""https://docs.google.com/spreadsheets/d/1QqKyyYR6Q21VydFLVH3TRQUabQu_ym0Zz7PgGX0-kHA/edit?usp=sharing"",""แผน!AW44"")"),0)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IFERROR(__xludf.DUMMYFUNCTION("IMPORTRANGE(""https://docs.google.com/spreadsheets/d/1QqKyyYR6Q21VydFLVH3TRQUabQu_ym0Zz7PgGX0-kHA/edit?usp=sharing"",""แผน!AX44"")"),0)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IFERROR(__xludf.DUMMYFUNCTION("IMPORTRANGE(""https://docs.google.com/spreadsheets/d/1QqKyyYR6Q21VydFLVH3TRQUabQu_ym0Zz7PgGX0-kHA/edit?usp=sharing"",""แผน!AY44"")"),0)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IFERROR(__xludf.DUMMYFUNCTION("IMPORTRANGE(""https://docs.google.com/spreadsheets/d/1QqKyyYR6Q21VydFLVH3TRQUabQu_ym0Zz7PgGX0-kHA/edit?usp=sharing"",""แผน!BE44"")"),0)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IFERROR(__xludf.DUMMYFUNCTION("IMPORTRANGE(""https://docs.google.com/spreadsheets/d/1QqKyyYR6Q21VydFLVH3TRQUabQu_ym0Zz7PgGX0-kHA/edit?usp=sharing"",""แผน!AZ44"")"),0)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IFERROR(__xludf.DUMMYFUNCTION("IMPORTRANGE(""https://docs.google.com/spreadsheets/d/1QqKyyYR6Q21VydFLVH3TRQUabQu_ym0Zz7PgGX0-kHA/edit?usp=sharing"",""แผน!BA44"")"),0)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IFERROR(__xludf.DUMMYFUNCTION("IMPORTRANGE(""https://docs.google.com/spreadsheets/d/1QqKyyYR6Q21VydFLVH3TRQUabQu_ym0Zz7PgGX0-kHA/edit?usp=sharing"",""แผน!BB44"")"),0)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IFERROR(__xludf.DUMMYFUNCTION("IMPORTRANGE(""https://docs.google.com/spreadsheets/d/1QqKyyYR6Q21VydFLVH3TRQUabQu_ym0Zz7PgGX0-kHA/edit?usp=sharing"",""แผน!BC44"")"),0)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IFERROR(__xludf.DUMMYFUNCTION("IMPORTRANGE(""https://docs.google.com/spreadsheets/d/1QqKyyYR6Q21VydFLVH3TRQUabQu_ym0Zz7PgGX0-kHA/edit?usp=sharing"",""แผน!BF44"")"),0)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22630</v>
      </c>
      <c r="O261" s="1004">
        <f t="shared" ref="O261:O269" ca="1" si="117">IF(L261&gt;0,N261*100/L261,0)</f>
        <v>84.126394052044603</v>
      </c>
      <c r="P261" s="1004">
        <f t="shared" ref="P261:P269" ca="1" si="118">IF(M261&gt;0,N261*100/M261,0)</f>
        <v>94.686192468619254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22630</v>
      </c>
      <c r="O263" s="899">
        <f t="shared" ca="1" si="117"/>
        <v>84.126394052044603</v>
      </c>
      <c r="P263" s="899">
        <f t="shared" ca="1" si="118"/>
        <v>94.686192468619254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22630</v>
      </c>
      <c r="O264" s="893">
        <f t="shared" ca="1" si="117"/>
        <v>84.126394052044603</v>
      </c>
      <c r="P264" s="893">
        <f t="shared" ca="1" si="118"/>
        <v>94.686192468619254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IFERROR(__xludf.DUMMYFUNCTION("IMPORTRANGE(""https://docs.google.com/spreadsheets/d/1MeEWN-I1oV_STSDYn1IFDPWt_1FKiwhDph83XaGc0o0/edit?usp=sharing"",""งบพรบ!CY44"")"),26900)</f>
        <v>26900</v>
      </c>
      <c r="M266" s="899">
        <f ca="1">IFERROR(__xludf.DUMMYFUNCTION("IMPORTRANGE(""https://docs.google.com/spreadsheets/d/1MeEWN-I1oV_STSDYn1IFDPWt_1FKiwhDph83XaGc0o0/edit?usp=sharing"",""งบพรบ!DD44"")"),23900)</f>
        <v>23900</v>
      </c>
      <c r="N266" s="899">
        <f ca="1">IFERROR(__xludf.DUMMYFUNCTION("IMPORTRANGE(""https://docs.google.com/spreadsheets/d/1MeEWN-I1oV_STSDYn1IFDPWt_1FKiwhDph83XaGc0o0/edit?usp=sharing"",""งบพรบ!DF44"")"),22630)</f>
        <v>22630</v>
      </c>
      <c r="O266" s="899">
        <f t="shared" ca="1" si="117"/>
        <v>84.126394052044603</v>
      </c>
      <c r="P266" s="899">
        <f t="shared" ca="1" si="118"/>
        <v>94.686192468619254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IFERROR(__xludf.DUMMYFUNCTION("IMPORTRANGE(""https://docs.google.com/spreadsheets/d/1MeEWN-I1oV_STSDYn1IFDPWt_1FKiwhDph83XaGc0o0/edit?usp=sharing"",""งบพรบ!DB44"")"),0)</f>
        <v>0</v>
      </c>
      <c r="M269" s="899">
        <f ca="1">IFERROR(__xludf.DUMMYFUNCTION("IMPORTRANGE(""https://docs.google.com/spreadsheets/d/1MeEWN-I1oV_STSDYn1IFDPWt_1FKiwhDph83XaGc0o0/edit?usp=sharing"",""งบพรบ!DE44"")"),0)</f>
        <v>0</v>
      </c>
      <c r="N269" s="899">
        <f ca="1">IFERROR(__xludf.DUMMYFUNCTION("IMPORTRANGE(""https://docs.google.com/spreadsheets/d/1MeEWN-I1oV_STSDYn1IFDPWt_1FKiwhDph83XaGc0o0/edit?usp=sharing"",""งบพรบ!DG44"")"),0)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IFERROR(__xludf.DUMMYFUNCTION("IMPORTRANGE(""https://docs.google.com/spreadsheets/d/1QqKyyYR6Q21VydFLVH3TRQUabQu_ym0Zz7PgGX0-kHA/edit?usp=sharing"",""แผน!EA44"")"),22)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10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100</v>
      </c>
      <c r="J276" s="1170">
        <f t="shared" si="124"/>
        <v>100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41010</v>
      </c>
      <c r="M277" s="1004">
        <f t="shared" ca="1" si="125"/>
        <v>21950</v>
      </c>
      <c r="N277" s="1004">
        <f t="shared" ca="1" si="125"/>
        <v>12895.14</v>
      </c>
      <c r="O277" s="1004">
        <f t="shared" ref="O277:O285" ca="1" si="126">IF(L277&gt;0,N277*100/L277,0)</f>
        <v>31.443891733723483</v>
      </c>
      <c r="P277" s="1004">
        <f t="shared" ref="P277:P285" ca="1" si="127">IF(M277&gt;0,N277*100/M277,0)</f>
        <v>58.747790432801821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41010</v>
      </c>
      <c r="M279" s="899">
        <f t="shared" ca="1" si="128"/>
        <v>21950</v>
      </c>
      <c r="N279" s="899">
        <f t="shared" ca="1" si="128"/>
        <v>12895.14</v>
      </c>
      <c r="O279" s="899">
        <f t="shared" ca="1" si="126"/>
        <v>31.443891733723483</v>
      </c>
      <c r="P279" s="899">
        <f t="shared" ca="1" si="127"/>
        <v>58.747790432801821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41010</v>
      </c>
      <c r="M280" s="893">
        <f t="shared" ca="1" si="129"/>
        <v>21950</v>
      </c>
      <c r="N280" s="893">
        <f t="shared" ca="1" si="129"/>
        <v>12895.14</v>
      </c>
      <c r="O280" s="893">
        <f t="shared" ca="1" si="126"/>
        <v>31.443891733723483</v>
      </c>
      <c r="P280" s="893">
        <f t="shared" ca="1" si="127"/>
        <v>58.747790432801821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IFERROR(__xludf.DUMMYFUNCTION("IMPORTRANGE(""https://docs.google.com/spreadsheets/d/1MeEWN-I1oV_STSDYn1IFDPWt_1FKiwhDph83XaGc0o0/edit?usp=sharing"",""งบพรบ!DI44"")"),41010)</f>
        <v>41010</v>
      </c>
      <c r="M282" s="899">
        <f ca="1">IFERROR(__xludf.DUMMYFUNCTION("IMPORTRANGE(""https://docs.google.com/spreadsheets/d/1MeEWN-I1oV_STSDYn1IFDPWt_1FKiwhDph83XaGc0o0/edit?usp=sharing"",""งบพรบ!DN44"")"),21950)</f>
        <v>21950</v>
      </c>
      <c r="N282" s="899">
        <f ca="1">IFERROR(__xludf.DUMMYFUNCTION("IMPORTRANGE(""https://docs.google.com/spreadsheets/d/1MeEWN-I1oV_STSDYn1IFDPWt_1FKiwhDph83XaGc0o0/edit?usp=sharing"",""งบพรบ!DP44"")"),12895.14)</f>
        <v>12895.14</v>
      </c>
      <c r="O282" s="899">
        <f t="shared" ca="1" si="126"/>
        <v>31.443891733723483</v>
      </c>
      <c r="P282" s="899">
        <f t="shared" ca="1" si="127"/>
        <v>58.747790432801821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IFERROR(__xludf.DUMMYFUNCTION("IMPORTRANGE(""https://docs.google.com/spreadsheets/d/1MeEWN-I1oV_STSDYn1IFDPWt_1FKiwhDph83XaGc0o0/edit?usp=sharing"",""งบพรบ!DL44"")"),0)</f>
        <v>0</v>
      </c>
      <c r="M285" s="899">
        <f ca="1">IFERROR(__xludf.DUMMYFUNCTION("IMPORTRANGE(""https://docs.google.com/spreadsheets/d/1MeEWN-I1oV_STSDYn1IFDPWt_1FKiwhDph83XaGc0o0/edit?usp=sharing"",""งบพรบ!DO44"")"),0)</f>
        <v>0</v>
      </c>
      <c r="N285" s="899">
        <f ca="1">IFERROR(__xludf.DUMMYFUNCTION("IMPORTRANGE(""https://docs.google.com/spreadsheets/d/1MeEWN-I1oV_STSDYn1IFDPWt_1FKiwhDph83XaGc0o0/edit?usp=sharing"",""งบพรบ!DQ44"")"),0)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IFERROR(__xludf.DUMMYFUNCTION("IMPORTRANGE(""https://docs.google.com/spreadsheets/d/1QqKyyYR6Q21VydFLVH3TRQUabQu_ym0Zz7PgGX0-kHA/edit?usp=sharing"",""แผน!EC44"")"),100)</f>
        <v>100</v>
      </c>
      <c r="J287" s="1024">
        <v>100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IFERROR(__xludf.DUMMYFUNCTION("IMPORTRANGE(""https://docs.google.com/spreadsheets/d/1QqKyyYR6Q21VydFLVH3TRQUabQu_ym0Zz7PgGX0-kHA/edit?usp=sharing"",""แผน!EB44"")"),10)</f>
        <v>10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IFERROR(__xludf.DUMMYFUNCTION("IMPORTRANGE(""https://docs.google.com/spreadsheets/d/1QqKyyYR6Q21VydFLVH3TRQUabQu_ym0Zz7PgGX0-kHA/edit?usp=sharing"",""แผน!EB44"")"),10)</f>
        <v>10</v>
      </c>
      <c r="J290" s="1024">
        <v>10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IFERROR(__xludf.DUMMYFUNCTION("IMPORTRANGE(""https://docs.google.com/spreadsheets/d/1QqKyyYR6Q21VydFLVH3TRQUabQu_ym0Zz7PgGX0-kHA/edit?usp=sharing"",""แผน!EB44"")"),10)</f>
        <v>10</v>
      </c>
      <c r="J291" s="1024">
        <v>10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IFERROR(__xludf.DUMMYFUNCTION("IMPORTRANGE(""https://docs.google.com/spreadsheets/d/1QqKyyYR6Q21VydFLVH3TRQUabQu_ym0Zz7PgGX0-kHA/edit?usp=sharing"",""แผน!EB44"")"),10)</f>
        <v>10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IFERROR(__xludf.DUMMYFUNCTION("IMPORTRANGE(""https://docs.google.com/spreadsheets/d/1QqKyyYR6Q21VydFLVH3TRQUabQu_ym0Zz7PgGX0-kHA/edit?usp=sharing"",""แผน!EB44"")"),10)</f>
        <v>10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62570</v>
      </c>
      <c r="O298" s="1004">
        <f t="shared" ref="O298:O306" ca="1" si="136">IF(L298&gt;0,N298*100/L298,0)</f>
        <v>75.934466019417471</v>
      </c>
      <c r="P298" s="1004">
        <f t="shared" ref="P298:P306" ca="1" si="137">IF(M298&gt;0,N298*100/M298,0)</f>
        <v>97.158385093167695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62570</v>
      </c>
      <c r="O300" s="899">
        <f t="shared" ca="1" si="136"/>
        <v>75.934466019417471</v>
      </c>
      <c r="P300" s="899">
        <f t="shared" ca="1" si="137"/>
        <v>97.158385093167695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62570</v>
      </c>
      <c r="O301" s="893">
        <f t="shared" ca="1" si="136"/>
        <v>75.934466019417471</v>
      </c>
      <c r="P301" s="893">
        <f t="shared" ca="1" si="137"/>
        <v>97.158385093167695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IFERROR(__xludf.DUMMYFUNCTION("IMPORTRANGE(""https://docs.google.com/spreadsheets/d/1MeEWN-I1oV_STSDYn1IFDPWt_1FKiwhDph83XaGc0o0/edit?usp=sharing"",""งบพรบ!DS44"")"),82400)</f>
        <v>82400</v>
      </c>
      <c r="M303" s="899">
        <f ca="1">IFERROR(__xludf.DUMMYFUNCTION("IMPORTRANGE(""https://docs.google.com/spreadsheets/d/1MeEWN-I1oV_STSDYn1IFDPWt_1FKiwhDph83XaGc0o0/edit?usp=sharing"",""งบพรบ!DX44"")"),64400)</f>
        <v>64400</v>
      </c>
      <c r="N303" s="899">
        <f ca="1">IFERROR(__xludf.DUMMYFUNCTION("IMPORTRANGE(""https://docs.google.com/spreadsheets/d/1MeEWN-I1oV_STSDYn1IFDPWt_1FKiwhDph83XaGc0o0/edit?usp=sharing"",""งบพรบ!DZ44"")"),62570)</f>
        <v>62570</v>
      </c>
      <c r="O303" s="899">
        <f t="shared" ca="1" si="136"/>
        <v>75.934466019417471</v>
      </c>
      <c r="P303" s="899">
        <f t="shared" ca="1" si="137"/>
        <v>97.158385093167695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IFERROR(__xludf.DUMMYFUNCTION("IMPORTRANGE(""https://docs.google.com/spreadsheets/d/1MeEWN-I1oV_STSDYn1IFDPWt_1FKiwhDph83XaGc0o0/edit?usp=sharing"",""งบพรบ!DV44"")"),0)</f>
        <v>0</v>
      </c>
      <c r="M306" s="899">
        <f ca="1">IFERROR(__xludf.DUMMYFUNCTION("IMPORTRANGE(""https://docs.google.com/spreadsheets/d/1MeEWN-I1oV_STSDYn1IFDPWt_1FKiwhDph83XaGc0o0/edit?usp=sharing"",""งบพรบ!DY44"")"),0)</f>
        <v>0</v>
      </c>
      <c r="N306" s="899">
        <f ca="1">IFERROR(__xludf.DUMMYFUNCTION("IMPORTRANGE(""https://docs.google.com/spreadsheets/d/1MeEWN-I1oV_STSDYn1IFDPWt_1FKiwhDph83XaGc0o0/edit?usp=sharing"",""งบพรบ!EA44"")"),0)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IFERROR(__xludf.DUMMYFUNCTION("IMPORTRANGE(""https://docs.google.com/spreadsheets/d/1QqKyyYR6Q21VydFLVH3TRQUabQu_ym0Zz7PgGX0-kHA/edit?usp=sharing"",""แผน!ED44"")"),20)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IFERROR(__xludf.DUMMYFUNCTION("IMPORTRANGE(""https://docs.google.com/spreadsheets/d/1QqKyyYR6Q21VydFLVH3TRQUabQu_ym0Zz7PgGX0-kHA/edit?usp=sharing"",""แผน!ED44"")"),20)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IFERROR(__xludf.DUMMYFUNCTION("IMPORTRANGE(""https://docs.google.com/spreadsheets/d/1QqKyyYR6Q21VydFLVH3TRQUabQu_ym0Zz7PgGX0-kHA/edit?usp=sharing"",""แผน!ED44"")"),20)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IFERROR(__xludf.DUMMYFUNCTION("IMPORTRANGE(""https://docs.google.com/spreadsheets/d/1QqKyyYR6Q21VydFLVH3TRQUabQu_ym0Zz7PgGX0-kHA/edit?usp=sharing"",""แผน!EE44"")"),4)</f>
        <v>4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IFERROR(__xludf.DUMMYFUNCTION("IMPORTRANGE(""https://docs.google.com/spreadsheets/d/1MeEWN-I1oV_STSDYn1IFDPWt_1FKiwhDph83XaGc0o0/edit?usp=sharing"",""งบพรบ!EC44"")"),0)</f>
        <v>0</v>
      </c>
      <c r="M320" s="899">
        <f ca="1">IFERROR(__xludf.DUMMYFUNCTION("IMPORTRANGE(""https://docs.google.com/spreadsheets/d/1MeEWN-I1oV_STSDYn1IFDPWt_1FKiwhDph83XaGc0o0/edit?usp=sharing"",""งบพรบ!EH44"")"),0)</f>
        <v>0</v>
      </c>
      <c r="N320" s="899">
        <f ca="1">IFERROR(__xludf.DUMMYFUNCTION("IMPORTRANGE(""https://docs.google.com/spreadsheets/d/1MeEWN-I1oV_STSDYn1IFDPWt_1FKiwhDph83XaGc0o0/edit?usp=sharing"",""งบพรบ!EJ44"")"),0)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IFERROR(__xludf.DUMMYFUNCTION("IMPORTRANGE(""https://docs.google.com/spreadsheets/d/1MeEWN-I1oV_STSDYn1IFDPWt_1FKiwhDph83XaGc0o0/edit?usp=sharing"",""งบพรบ!EF44"")"),0)</f>
        <v>0</v>
      </c>
      <c r="M323" s="899">
        <f ca="1">IFERROR(__xludf.DUMMYFUNCTION("IMPORTRANGE(""https://docs.google.com/spreadsheets/d/1MeEWN-I1oV_STSDYn1IFDPWt_1FKiwhDph83XaGc0o0/edit?usp=sharing"",""งบพรบ!EI44"")"),0)</f>
        <v>0</v>
      </c>
      <c r="N323" s="899">
        <f ca="1">IFERROR(__xludf.DUMMYFUNCTION("IMPORTRANGE(""https://docs.google.com/spreadsheets/d/1MeEWN-I1oV_STSDYn1IFDPWt_1FKiwhDph83XaGc0o0/edit?usp=sharing"",""งบพรบ!EK44"")"),0)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IFERROR(__xludf.DUMMYFUNCTION("IMPORTRANGE(""https://docs.google.com/spreadsheets/d/1QqKyyYR6Q21VydFLVH3TRQUabQu_ym0Zz7PgGX0-kHA/edit?usp=sharing"",""แผน!EF44"")"),0)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IFERROR(__xludf.DUMMYFUNCTION("IMPORTRANGE(""https://docs.google.com/spreadsheets/d/1QqKyyYR6Q21VydFLVH3TRQUabQu_ym0Zz7PgGX0-kHA/edit?usp=sharing"",""แผน!EG44"")"),6700)</f>
        <v>6700</v>
      </c>
      <c r="J327" s="1202">
        <f ca="1">J338+J341+J342+J343</f>
        <v>6818</v>
      </c>
      <c r="K327" s="1203">
        <f ca="1">IF(I327&gt;0,J327*100/I327,0)</f>
        <v>101.76119402985074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186000</v>
      </c>
      <c r="M328" s="1004">
        <f t="shared" ca="1" si="149"/>
        <v>142000</v>
      </c>
      <c r="N328" s="1004">
        <f t="shared" ca="1" si="149"/>
        <v>110577.14</v>
      </c>
      <c r="O328" s="1004">
        <f t="shared" ref="O328:O336" ca="1" si="150">IF(L328&gt;0,N328*100/L328,0)</f>
        <v>59.450075268817201</v>
      </c>
      <c r="P328" s="1004">
        <f t="shared" ref="P328:P336" ca="1" si="151">IF(M328&gt;0,N328*100/M328,0)</f>
        <v>77.871225352112674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186000</v>
      </c>
      <c r="M330" s="899">
        <f t="shared" ca="1" si="152"/>
        <v>142000</v>
      </c>
      <c r="N330" s="899">
        <f t="shared" ca="1" si="152"/>
        <v>110577.14</v>
      </c>
      <c r="O330" s="899">
        <f t="shared" ca="1" si="150"/>
        <v>59.450075268817201</v>
      </c>
      <c r="P330" s="899">
        <f t="shared" ca="1" si="151"/>
        <v>77.871225352112674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186000</v>
      </c>
      <c r="M331" s="893">
        <f t="shared" ca="1" si="153"/>
        <v>142000</v>
      </c>
      <c r="N331" s="893">
        <f t="shared" ca="1" si="153"/>
        <v>110577.14</v>
      </c>
      <c r="O331" s="893">
        <f t="shared" ca="1" si="150"/>
        <v>59.450075268817201</v>
      </c>
      <c r="P331" s="893">
        <f t="shared" ca="1" si="151"/>
        <v>77.871225352112674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IFERROR(__xludf.DUMMYFUNCTION("IMPORTRANGE(""https://docs.google.com/spreadsheets/d/1MeEWN-I1oV_STSDYn1IFDPWt_1FKiwhDph83XaGc0o0/edit?usp=sharing"",""งบพรบ!EM44"")"),186000)</f>
        <v>186000</v>
      </c>
      <c r="M333" s="899">
        <f ca="1">IFERROR(__xludf.DUMMYFUNCTION("IMPORTRANGE(""https://docs.google.com/spreadsheets/d/1MeEWN-I1oV_STSDYn1IFDPWt_1FKiwhDph83XaGc0o0/edit?usp=sharing"",""งบพรบ!ER44"")"),142000)</f>
        <v>142000</v>
      </c>
      <c r="N333" s="899">
        <f ca="1">IFERROR(__xludf.DUMMYFUNCTION("IMPORTRANGE(""https://docs.google.com/spreadsheets/d/1MeEWN-I1oV_STSDYn1IFDPWt_1FKiwhDph83XaGc0o0/edit?usp=sharing"",""งบพรบ!ET44"")"),110577.14)</f>
        <v>110577.14</v>
      </c>
      <c r="O333" s="899">
        <f t="shared" ca="1" si="150"/>
        <v>59.450075268817201</v>
      </c>
      <c r="P333" s="899">
        <f t="shared" ca="1" si="151"/>
        <v>77.871225352112674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IFERROR(__xludf.DUMMYFUNCTION("IMPORTRANGE(""https://docs.google.com/spreadsheets/d/1MeEWN-I1oV_STSDYn1IFDPWt_1FKiwhDph83XaGc0o0/edit?usp=sharing"",""งบพรบ!EP44"")"),0)</f>
        <v>0</v>
      </c>
      <c r="M336" s="899">
        <f ca="1">IFERROR(__xludf.DUMMYFUNCTION("IMPORTRANGE(""https://docs.google.com/spreadsheets/d/1MeEWN-I1oV_STSDYn1IFDPWt_1FKiwhDph83XaGc0o0/edit?usp=sharing"",""งบพรบ!ES44"")"),0)</f>
        <v>0</v>
      </c>
      <c r="N336" s="899">
        <f ca="1">IFERROR(__xludf.DUMMYFUNCTION("IMPORTRANGE(""https://docs.google.com/spreadsheets/d/1MeEWN-I1oV_STSDYn1IFDPWt_1FKiwhDph83XaGc0o0/edit?usp=sharing"",""งบพรบ!EU44"")"),0)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IFERROR(__xludf.DUMMYFUNCTION("IMPORTRANGE(""https://docs.google.com/spreadsheets/d/1QqKyyYR6Q21VydFLVH3TRQUabQu_ym0Zz7PgGX0-kHA/edit?usp=sharing"",""แผน!EG44"")"),6700)</f>
        <v>6700</v>
      </c>
      <c r="J338" s="892">
        <f ca="1">IFERROR(__xludf.DUMMYFUNCTION("IMPORTRANGE(""https://docs.google.com/spreadsheets/d/1kVcqe37tkHyjCSG3S0O1AXqVkqjo8mSIZil3BcpIysc/edit?usp=sharing"",""ศูนย์!D44"")"),5958)</f>
        <v>5958</v>
      </c>
      <c r="K338" s="893">
        <f ca="1">IF(I338&gt;0,J338*100/I338,0)</f>
        <v>88.925373134328353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IFERROR(__xludf.DUMMYFUNCTION("IMPORTRANGE(""https://docs.google.com/spreadsheets/d/1QqKyyYR6Q21VydFLVH3TRQUabQu_ym0Zz7PgGX0-kHA/edit?usp=sharing"",""แผน!EH44"")"),9)</f>
        <v>9</v>
      </c>
      <c r="J340" s="892">
        <f ca="1">IFERROR(__xludf.DUMMYFUNCTION("IMPORTRANGE(""https://docs.google.com/spreadsheets/d/1kVcqe37tkHyjCSG3S0O1AXqVkqjo8mSIZil3BcpIysc/edit?usp=sharing"",""ศูนย์!E44"")"),7)</f>
        <v>7</v>
      </c>
      <c r="K340" s="893">
        <f ca="1">IF(I340&gt;0,J340*100/I340,0)</f>
        <v>77.777777777777771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IFERROR(__xludf.DUMMYFUNCTION("IMPORTRANGE(""https://docs.google.com/spreadsheets/d/1kVcqe37tkHyjCSG3S0O1AXqVkqjo8mSIZil3BcpIysc/edit?usp=sharing"",""ศูนย์!F44"")"),846)</f>
        <v>846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IFERROR(__xludf.DUMMYFUNCTION("IMPORTRANGE(""https://docs.google.com/spreadsheets/d/1kVcqe37tkHyjCSG3S0O1AXqVkqjo8mSIZil3BcpIysc/edit?usp=sharing"",""ศูนย์!G44"")"),1)</f>
        <v>1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IFERROR(__xludf.DUMMYFUNCTION("IMPORTRANGE(""https://docs.google.com/spreadsheets/d/1kVcqe37tkHyjCSG3S0O1AXqVkqjo8mSIZil3BcpIysc/edit?usp=sharing"",""ศูนย์!H44"")"),13)</f>
        <v>13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2297570</v>
      </c>
      <c r="M345" s="1004">
        <f t="shared" ca="1" si="155"/>
        <v>1766550</v>
      </c>
      <c r="N345" s="1004">
        <f t="shared" ca="1" si="155"/>
        <v>998219.96</v>
      </c>
      <c r="O345" s="1004">
        <f t="shared" ref="O345:O353" ca="1" si="156">IF(L345&gt;0,N345*100/L345,0)</f>
        <v>43.446770283386357</v>
      </c>
      <c r="P345" s="1004">
        <f t="shared" ref="P345:P353" ca="1" si="157">IF(M345&gt;0,N345*100/M345,0)</f>
        <v>56.50674818148368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2297570</v>
      </c>
      <c r="M347" s="899">
        <f t="shared" ca="1" si="158"/>
        <v>1766550</v>
      </c>
      <c r="N347" s="899">
        <f t="shared" ca="1" si="158"/>
        <v>998219.96</v>
      </c>
      <c r="O347" s="899">
        <f t="shared" ca="1" si="156"/>
        <v>43.446770283386357</v>
      </c>
      <c r="P347" s="899">
        <f t="shared" ca="1" si="157"/>
        <v>56.50674818148368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2171170</v>
      </c>
      <c r="M348" s="893">
        <f t="shared" ca="1" si="159"/>
        <v>1640850</v>
      </c>
      <c r="N348" s="893">
        <f t="shared" ca="1" si="159"/>
        <v>872519.96</v>
      </c>
      <c r="O348" s="893">
        <f t="shared" ca="1" si="156"/>
        <v>40.1866256442379</v>
      </c>
      <c r="P348" s="893">
        <f t="shared" ca="1" si="157"/>
        <v>53.174876435993539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IFERROR(__xludf.DUMMYFUNCTION("IMPORTRANGE(""https://docs.google.com/spreadsheets/d/1MeEWN-I1oV_STSDYn1IFDPWt_1FKiwhDph83XaGc0o0/edit?usp=sharing"",""งบพรบ!EW44"")"),2171170)</f>
        <v>2171170</v>
      </c>
      <c r="M350" s="899">
        <f ca="1">IFERROR(__xludf.DUMMYFUNCTION("IMPORTRANGE(""https://docs.google.com/spreadsheets/d/1MeEWN-I1oV_STSDYn1IFDPWt_1FKiwhDph83XaGc0o0/edit?usp=sharing"",""งบพรบ!FB44"")"),1640850)</f>
        <v>1640850</v>
      </c>
      <c r="N350" s="899">
        <f ca="1">IFERROR(__xludf.DUMMYFUNCTION("IMPORTRANGE(""https://docs.google.com/spreadsheets/d/1MeEWN-I1oV_STSDYn1IFDPWt_1FKiwhDph83XaGc0o0/edit?usp=sharing"",""งบพรบ!FD44"")"),872519.96)</f>
        <v>872519.96</v>
      </c>
      <c r="O350" s="899">
        <f t="shared" ca="1" si="156"/>
        <v>40.1866256442379</v>
      </c>
      <c r="P350" s="899">
        <f t="shared" ca="1" si="157"/>
        <v>53.174876435993539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126400</v>
      </c>
      <c r="M351" s="893">
        <f t="shared" ca="1" si="160"/>
        <v>125700</v>
      </c>
      <c r="N351" s="893">
        <f t="shared" ca="1" si="160"/>
        <v>125700</v>
      </c>
      <c r="O351" s="893">
        <f t="shared" ca="1" si="156"/>
        <v>99.446202531645568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IFERROR(__xludf.DUMMYFUNCTION("IMPORTRANGE(""https://docs.google.com/spreadsheets/d/1MeEWN-I1oV_STSDYn1IFDPWt_1FKiwhDph83XaGc0o0/edit?usp=sharing"",""งบพรบ!EZ44"")"),126400)</f>
        <v>126400</v>
      </c>
      <c r="M353" s="899">
        <f ca="1">IFERROR(__xludf.DUMMYFUNCTION("IMPORTRANGE(""https://docs.google.com/spreadsheets/d/1MeEWN-I1oV_STSDYn1IFDPWt_1FKiwhDph83XaGc0o0/edit?usp=sharing"",""งบพรบ!FC44"")"),125700)</f>
        <v>125700</v>
      </c>
      <c r="N353" s="899">
        <f ca="1">IFERROR(__xludf.DUMMYFUNCTION("IMPORTRANGE(""https://docs.google.com/spreadsheets/d/1MeEWN-I1oV_STSDYn1IFDPWt_1FKiwhDph83XaGc0o0/edit?usp=sharing"",""งบพรบ!FE44"")"),125700)</f>
        <v>125700</v>
      </c>
      <c r="O353" s="899">
        <f t="shared" ca="1" si="156"/>
        <v>99.446202531645568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IFERROR(__xludf.DUMMYFUNCTION("IMPORTRANGE(""https://docs.google.com/spreadsheets/d/1QqKyyYR6Q21VydFLVH3TRQUabQu_ym0Zz7PgGX0-kHA/edit?usp=sharing"",""แผน!EP44"")"),1112)</f>
        <v>1112</v>
      </c>
      <c r="J355" s="1218">
        <f ca="1">J362</f>
        <v>134</v>
      </c>
      <c r="K355" s="1219">
        <f ca="1">IF(I355&gt;0,J355*100/I355,0)</f>
        <v>12.050359712230216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IFERROR(__xludf.DUMMYFUNCTION("IMPORTRANGE(""https://docs.google.com/spreadsheets/d/1XWAQStnk-4SwqDmLtmXYiTMKHgktTP8We1SCoS47DrQ/edit?usp=sharing"",""จัดที่ดิน!W44"")"),572)</f>
        <v>572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IFERROR(__xludf.DUMMYFUNCTION("IMPORTRANGE(""https://docs.google.com/spreadsheets/d/1QqKyyYR6Q21VydFLVH3TRQUabQu_ym0Zz7PgGX0-kHA/edit?usp=sharing"",""แผน!EO44"")"),11120)</f>
        <v>11120</v>
      </c>
      <c r="J359" s="892">
        <f ca="1">IFERROR(__xludf.DUMMYFUNCTION("IMPORTRANGE(""https://docs.google.com/spreadsheets/d/1XWAQStnk-4SwqDmLtmXYiTMKHgktTP8We1SCoS47DrQ/edit?usp=sharing"",""จัดที่ดิน!X44"")"),3219.08)</f>
        <v>3219.08</v>
      </c>
      <c r="K359" s="893">
        <f t="shared" ca="1" si="161"/>
        <v>28.948561151079137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IFERROR(__xludf.DUMMYFUNCTION("IMPORTRANGE(""https://docs.google.com/spreadsheets/d/1QqKyyYR6Q21VydFLVH3TRQUabQu_ym0Zz7PgGX0-kHA/edit?usp=sharing"",""แผน!EP44"")"),1112)</f>
        <v>1112</v>
      </c>
      <c r="J360" s="892">
        <f ca="1">IFERROR(__xludf.DUMMYFUNCTION("IMPORTRANGE(""https://docs.google.com/spreadsheets/d/1XWAQStnk-4SwqDmLtmXYiTMKHgktTP8We1SCoS47DrQ/edit?usp=sharing"",""จัดที่ดิน!Y44"")"),517)</f>
        <v>517</v>
      </c>
      <c r="K360" s="893">
        <f t="shared" ca="1" si="161"/>
        <v>46.492805755395686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IFERROR(__xludf.DUMMYFUNCTION("IMPORTRANGE(""https://docs.google.com/spreadsheets/d/1XWAQStnk-4SwqDmLtmXYiTMKHgktTP8We1SCoS47DrQ/edit?usp=sharing"",""จัดที่ดิน!Z44"")"),2891.16)</f>
        <v>2891.16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IFERROR(__xludf.DUMMYFUNCTION("IMPORTRANGE(""https://docs.google.com/spreadsheets/d/1QqKyyYR6Q21VydFLVH3TRQUabQu_ym0Zz7PgGX0-kHA/edit?usp=sharing"",""แผน!EP44"")"),1112)</f>
        <v>1112</v>
      </c>
      <c r="J362" s="892">
        <f ca="1">IFERROR(__xludf.DUMMYFUNCTION("IMPORTRANGE(""https://docs.google.com/spreadsheets/d/1XWAQStnk-4SwqDmLtmXYiTMKHgktTP8We1SCoS47DrQ/edit?usp=sharing"",""จัดที่ดิน!AA44"")"),134)</f>
        <v>134</v>
      </c>
      <c r="K362" s="893">
        <f t="shared" ca="1" si="161"/>
        <v>12.050359712230216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IFERROR(__xludf.DUMMYFUNCTION("IMPORTRANGE(""https://docs.google.com/spreadsheets/d/1XWAQStnk-4SwqDmLtmXYiTMKHgktTP8We1SCoS47DrQ/edit?usp=sharing"",""จัดที่ดิน!AB44"")"),684.49)</f>
        <v>684.49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2112</v>
      </c>
      <c r="J364" s="1231">
        <f t="shared" ca="1" si="162"/>
        <v>806</v>
      </c>
      <c r="K364" s="1232">
        <f t="shared" ca="1" si="161"/>
        <v>38.162878787878789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IFERROR(__xludf.DUMMYFUNCTION("IMPORTRANGE(""https://docs.google.com/spreadsheets/d/1QqKyyYR6Q21VydFLVH3TRQUabQu_ym0Zz7PgGX0-kHA/edit?usp=sharing"",""แผน!EJ44"")"),312)</f>
        <v>312</v>
      </c>
      <c r="J365" s="1239">
        <f ca="1">J372</f>
        <v>100</v>
      </c>
      <c r="K365" s="1240">
        <f t="shared" ca="1" si="161"/>
        <v>32.051282051282051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IFERROR(__xludf.DUMMYFUNCTION("IMPORTRANGE(""https://docs.google.com/spreadsheets/d/1XWAQStnk-4SwqDmLtmXYiTMKHgktTP8We1SCoS47DrQ/edit?usp=sharing"",""จัดที่ดิน!E44"")"),201)</f>
        <v>201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IFERROR(__xludf.DUMMYFUNCTION("IMPORTRANGE(""https://docs.google.com/spreadsheets/d/1QqKyyYR6Q21VydFLVH3TRQUabQu_ym0Zz7PgGX0-kHA/edit?usp=sharing"",""แผน!EI44"")"),3120)</f>
        <v>3120</v>
      </c>
      <c r="J369" s="892">
        <f ca="1">IFERROR(__xludf.DUMMYFUNCTION("IMPORTRANGE(""https://docs.google.com/spreadsheets/d/1XWAQStnk-4SwqDmLtmXYiTMKHgktTP8We1SCoS47DrQ/edit?usp=sharing"",""จัดที่ดิน!F44"")"),1195.76)</f>
        <v>1195.76</v>
      </c>
      <c r="K369" s="893">
        <f t="shared" ca="1" si="163"/>
        <v>38.325641025641026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IFERROR(__xludf.DUMMYFUNCTION("IMPORTRANGE(""https://docs.google.com/spreadsheets/d/1QqKyyYR6Q21VydFLVH3TRQUabQu_ym0Zz7PgGX0-kHA/edit?usp=sharing"",""แผน!EJ44"")"),312)</f>
        <v>312</v>
      </c>
      <c r="J370" s="892">
        <f ca="1">IFERROR(__xludf.DUMMYFUNCTION("IMPORTRANGE(""https://docs.google.com/spreadsheets/d/1XWAQStnk-4SwqDmLtmXYiTMKHgktTP8We1SCoS47DrQ/edit?usp=sharing"",""จัดที่ดิน!G44"")"),151)</f>
        <v>151</v>
      </c>
      <c r="K370" s="893">
        <f t="shared" ca="1" si="163"/>
        <v>48.397435897435898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IFERROR(__xludf.DUMMYFUNCTION("IMPORTRANGE(""https://docs.google.com/spreadsheets/d/1XWAQStnk-4SwqDmLtmXYiTMKHgktTP8We1SCoS47DrQ/edit?usp=sharing"",""จัดที่ดิน!H44"")"),909.26)</f>
        <v>909.26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IFERROR(__xludf.DUMMYFUNCTION("IMPORTRANGE(""https://docs.google.com/spreadsheets/d/1QqKyyYR6Q21VydFLVH3TRQUabQu_ym0Zz7PgGX0-kHA/edit?usp=sharing"",""แผน!EJ44"")"),312)</f>
        <v>312</v>
      </c>
      <c r="J372" s="892">
        <f ca="1">IFERROR(__xludf.DUMMYFUNCTION("IMPORTRANGE(""https://docs.google.com/spreadsheets/d/1XWAQStnk-4SwqDmLtmXYiTMKHgktTP8We1SCoS47DrQ/edit?usp=sharing"",""จัดที่ดิน!I44"")"),100)</f>
        <v>100</v>
      </c>
      <c r="K372" s="893">
        <f t="shared" ca="1" si="163"/>
        <v>32.051282051282051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IFERROR(__xludf.DUMMYFUNCTION("IMPORTRANGE(""https://docs.google.com/spreadsheets/d/1XWAQStnk-4SwqDmLtmXYiTMKHgktTP8We1SCoS47DrQ/edit?usp=sharing"",""จัดที่ดิน!J44"")"),508.5)</f>
        <v>508.5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IFERROR(__xludf.DUMMYFUNCTION("IMPORTRANGE(""https://docs.google.com/spreadsheets/d/1QqKyyYR6Q21VydFLVH3TRQUabQu_ym0Zz7PgGX0-kHA/edit?usp=sharing"",""แผน!EU44"")"),1800)</f>
        <v>1800</v>
      </c>
      <c r="J374" s="1239">
        <f ca="1">J381</f>
        <v>706</v>
      </c>
      <c r="K374" s="1240">
        <f t="shared" ca="1" si="163"/>
        <v>39.222222222222221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IFERROR(__xludf.DUMMYFUNCTION("IMPORTRANGE(""https://docs.google.com/spreadsheets/d/1XWAQStnk-4SwqDmLtmXYiTMKHgktTP8We1SCoS47DrQ/edit?usp=sharing"",""จัดที่ดิน!AH44"")"),371)</f>
        <v>371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IFERROR(__xludf.DUMMYFUNCTION("IMPORTRANGE(""https://docs.google.com/spreadsheets/d/1QqKyyYR6Q21VydFLVH3TRQUabQu_ym0Zz7PgGX0-kHA/edit?usp=sharing"",""แผน!ET44"")"),8000)</f>
        <v>8000</v>
      </c>
      <c r="J378" s="892">
        <f ca="1">IFERROR(__xludf.DUMMYFUNCTION("IMPORTRANGE(""https://docs.google.com/spreadsheets/d/1XWAQStnk-4SwqDmLtmXYiTMKHgktTP8We1SCoS47DrQ/edit?usp=sharing"",""จัดที่ดิน!AI44"")"),2023.32)</f>
        <v>2023.32</v>
      </c>
      <c r="K378" s="893">
        <f t="shared" ca="1" si="164"/>
        <v>25.291499999999999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IFERROR(__xludf.DUMMYFUNCTION("IMPORTRANGE(""https://docs.google.com/spreadsheets/d/1QqKyyYR6Q21VydFLVH3TRQUabQu_ym0Zz7PgGX0-kHA/edit?usp=sharing"",""แผน!EU44"")"),1800)</f>
        <v>1800</v>
      </c>
      <c r="J379" s="892">
        <f ca="1">IFERROR(__xludf.DUMMYFUNCTION("IMPORTRANGE(""https://docs.google.com/spreadsheets/d/1XWAQStnk-4SwqDmLtmXYiTMKHgktTP8We1SCoS47DrQ/edit?usp=sharing"",""จัดที่ดิน!AJ44"")"),1040)</f>
        <v>1040</v>
      </c>
      <c r="K379" s="893">
        <f t="shared" ca="1" si="164"/>
        <v>57.777777777777779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IFERROR(__xludf.DUMMYFUNCTION("IMPORTRANGE(""https://docs.google.com/spreadsheets/d/1XWAQStnk-4SwqDmLtmXYiTMKHgktTP8We1SCoS47DrQ/edit?usp=sharing"",""จัดที่ดิน!AK44"")"),7416.9)</f>
        <v>7416.9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IFERROR(__xludf.DUMMYFUNCTION("IMPORTRANGE(""https://docs.google.com/spreadsheets/d/1QqKyyYR6Q21VydFLVH3TRQUabQu_ym0Zz7PgGX0-kHA/edit?usp=sharing"",""แผน!EU44"")"),1800)</f>
        <v>1800</v>
      </c>
      <c r="J381" s="892">
        <f ca="1">IFERROR(__xludf.DUMMYFUNCTION("IMPORTRANGE(""https://docs.google.com/spreadsheets/d/1XWAQStnk-4SwqDmLtmXYiTMKHgktTP8We1SCoS47DrQ/edit?usp=sharing"",""จัดที่ดิน!AL44"")"),706)</f>
        <v>706</v>
      </c>
      <c r="K381" s="893">
        <f t="shared" ca="1" si="164"/>
        <v>39.222222222222221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IFERROR(__xludf.DUMMYFUNCTION("IMPORTRANGE(""https://docs.google.com/spreadsheets/d/1XWAQStnk-4SwqDmLtmXYiTMKHgktTP8We1SCoS47DrQ/edit?usp=sharing"",""จัดที่ดิน!AM44"")"),5592)</f>
        <v>5592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IFERROR(__xludf.DUMMYFUNCTION("IMPORTRANGE(""https://docs.google.com/spreadsheets/d/1QqKyyYR6Q21VydFLVH3TRQUabQu_ym0Zz7PgGX0-kHA/edit?usp=sharing"",""แผน!EW44"")"),150)</f>
        <v>150</v>
      </c>
      <c r="J385" s="1149">
        <f ca="1">IFERROR(__xludf.DUMMYFUNCTION("IMPORTRANGE(""https://docs.google.com/spreadsheets/d/1XWAQStnk-4SwqDmLtmXYiTMKHgktTP8We1SCoS47DrQ/edit?usp=sharing"",""จัดที่ดิน!AP44"")"),3)</f>
        <v>3</v>
      </c>
      <c r="K385" s="1251">
        <f ca="1">IF(I385&gt;0,J385*100/I385,0)</f>
        <v>2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IFERROR(__xludf.DUMMYFUNCTION("IMPORTRANGE(""https://docs.google.com/spreadsheets/d/1MeEWN-I1oV_STSDYn1IFDPWt_1FKiwhDph83XaGc0o0/edit?usp=sharing"",""งบพรบ!FG44"")"),0)</f>
        <v>0</v>
      </c>
      <c r="M394" s="899">
        <f ca="1">IFERROR(__xludf.DUMMYFUNCTION("IMPORTRANGE(""https://docs.google.com/spreadsheets/d/1MeEWN-I1oV_STSDYn1IFDPWt_1FKiwhDph83XaGc0o0/edit?usp=sharing"",""งบพรบ!FL44"")"),0)</f>
        <v>0</v>
      </c>
      <c r="N394" s="899">
        <f ca="1">IFERROR(__xludf.DUMMYFUNCTION("IMPORTRANGE(""https://docs.google.com/spreadsheets/d/1MeEWN-I1oV_STSDYn1IFDPWt_1FKiwhDph83XaGc0o0/edit?usp=sharing"",""งบพรบ!FN44"")"),0)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IFERROR(__xludf.DUMMYFUNCTION("IMPORTRANGE(""https://docs.google.com/spreadsheets/d/1MeEWN-I1oV_STSDYn1IFDPWt_1FKiwhDph83XaGc0o0/edit?usp=sharing"",""งบพรบ!FJ44"")"),0)</f>
        <v>0</v>
      </c>
      <c r="M397" s="899">
        <f ca="1">IFERROR(__xludf.DUMMYFUNCTION("IMPORTRANGE(""https://docs.google.com/spreadsheets/d/1MeEWN-I1oV_STSDYn1IFDPWt_1FKiwhDph83XaGc0o0/edit?usp=sharing"",""งบพรบ!FM44"")"),0)</f>
        <v>0</v>
      </c>
      <c r="N397" s="899">
        <f ca="1">IFERROR(__xludf.DUMMYFUNCTION("IMPORTRANGE(""https://docs.google.com/spreadsheets/d/1MeEWN-I1oV_STSDYn1IFDPWt_1FKiwhDph83XaGc0o0/edit?usp=sharing"",""งบพรบ!FO44"")"),0)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IFERROR(__xludf.DUMMYFUNCTION("IMPORTRANGE(""https://docs.google.com/spreadsheets/d/1MeEWN-I1oV_STSDYn1IFDPWt_1FKiwhDph83XaGc0o0/edit?usp=sharing"",""งบพรบ!FQ44"")"),0)</f>
        <v>0</v>
      </c>
      <c r="M407" s="899">
        <f ca="1">IFERROR(__xludf.DUMMYFUNCTION("IMPORTRANGE(""https://docs.google.com/spreadsheets/d/1MeEWN-I1oV_STSDYn1IFDPWt_1FKiwhDph83XaGc0o0/edit?usp=sharing"",""งบพรบ!FV44"")"),0)</f>
        <v>0</v>
      </c>
      <c r="N407" s="899">
        <f ca="1">IFERROR(__xludf.DUMMYFUNCTION("IMPORTRANGE(""https://docs.google.com/spreadsheets/d/1MeEWN-I1oV_STSDYn1IFDPWt_1FKiwhDph83XaGc0o0/edit?usp=sharing"",""งบพรบ!FX44"")"),0)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IFERROR(__xludf.DUMMYFUNCTION("IMPORTRANGE(""https://docs.google.com/spreadsheets/d/1MeEWN-I1oV_STSDYn1IFDPWt_1FKiwhDph83XaGc0o0/edit?usp=sharing"",""งบพรบ!FT44"")"),0)</f>
        <v>0</v>
      </c>
      <c r="M410" s="899">
        <f ca="1">IFERROR(__xludf.DUMMYFUNCTION("IMPORTRANGE(""https://docs.google.com/spreadsheets/d/1MeEWN-I1oV_STSDYn1IFDPWt_1FKiwhDph83XaGc0o0/edit?usp=sharing"",""งบพรบ!FW44"")"),0)</f>
        <v>0</v>
      </c>
      <c r="N410" s="899">
        <f ca="1">IFERROR(__xludf.DUMMYFUNCTION("IMPORTRANGE(""https://docs.google.com/spreadsheets/d/1MeEWN-I1oV_STSDYn1IFDPWt_1FKiwhDph83XaGc0o0/edit?usp=sharing"",""งบพรบ!FY44"")"),0)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2315871</v>
      </c>
      <c r="M414" s="1293">
        <f t="shared" ca="1" si="181"/>
        <v>2315871</v>
      </c>
      <c r="N414" s="1293">
        <f t="shared" si="181"/>
        <v>674215.1</v>
      </c>
      <c r="O414" s="1293">
        <f ca="1">IF(L414&gt;0,N414*100/L414,0)</f>
        <v>29.112808960430005</v>
      </c>
      <c r="P414" s="1293">
        <f ca="1">IF(M414&gt;0,N414*100/M414,0)</f>
        <v>29.112808960430005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55</v>
      </c>
      <c r="J417" s="1306">
        <f t="shared" ca="1" si="182"/>
        <v>0</v>
      </c>
      <c r="K417" s="1307">
        <f t="shared" ref="K417:K418" ca="1" si="183">IF(I417&gt;0,J417*100/I417,0)</f>
        <v>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0</v>
      </c>
      <c r="K418" s="1307">
        <f t="shared" ca="1" si="183"/>
        <v>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163360</v>
      </c>
      <c r="M419" s="1004">
        <f t="shared" ca="1" si="184"/>
        <v>163360</v>
      </c>
      <c r="N419" s="1004">
        <f t="shared" si="184"/>
        <v>24380</v>
      </c>
      <c r="O419" s="1004">
        <f t="shared" ref="O419:O424" ca="1" si="185">IF(L419&gt;0,N419*100/L419,0)</f>
        <v>14.92409402546523</v>
      </c>
      <c r="P419" s="1004">
        <f t="shared" ref="P419:P424" ca="1" si="186">IF(M419&gt;0,N419*100/M419,0)</f>
        <v>14.92409402546523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163360</v>
      </c>
      <c r="M421" s="899">
        <f t="shared" ca="1" si="187"/>
        <v>163360</v>
      </c>
      <c r="N421" s="899">
        <f t="shared" si="187"/>
        <v>24380</v>
      </c>
      <c r="O421" s="899">
        <f t="shared" ca="1" si="185"/>
        <v>14.92409402546523</v>
      </c>
      <c r="P421" s="899">
        <f t="shared" ca="1" si="186"/>
        <v>14.92409402546523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163360</v>
      </c>
      <c r="M422" s="893">
        <f t="shared" ca="1" si="188"/>
        <v>163360</v>
      </c>
      <c r="N422" s="893">
        <f t="shared" si="188"/>
        <v>24380</v>
      </c>
      <c r="O422" s="893">
        <f t="shared" ca="1" si="185"/>
        <v>14.92409402546523</v>
      </c>
      <c r="P422" s="893">
        <f t="shared" ca="1" si="186"/>
        <v>14.92409402546523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IFERROR(__xludf.DUMMYFUNCTION("IMPORTRANGE(""https://docs.google.com/spreadsheets/d/1QqKyyYR6Q21VydFLVH3TRQUabQu_ym0Zz7PgGX0-kHA/edit?usp=sharing"",""แผน!EY44"")"),163360)</f>
        <v>163360</v>
      </c>
      <c r="M424" s="899">
        <f ca="1">L424</f>
        <v>163360</v>
      </c>
      <c r="N424" s="899">
        <f>N425+N426+N427+N428</f>
        <v>24380</v>
      </c>
      <c r="O424" s="899">
        <f t="shared" ca="1" si="185"/>
        <v>14.92409402546523</v>
      </c>
      <c r="P424" s="899">
        <f t="shared" ca="1" si="186"/>
        <v>14.92409402546523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18960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5420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IFERROR(__xludf.DUMMYFUNCTION("IMPORTRANGE(""https://docs.google.com/spreadsheets/d/1QqKyyYR6Q21VydFLVH3TRQUabQu_ym0Zz7PgGX0-kHA/edit?usp=sharing"",""แผน!FB44"")"),0)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55</v>
      </c>
      <c r="J433" s="1031">
        <f ca="1">IF(AND(J435=I435,J437=I437,J439=I439),I437+I439,IF(AND(J435=I437,J437=I437),I437,IF(AND(J435=I439,J439=I439),I439,0)))</f>
        <v>0</v>
      </c>
      <c r="K433" s="1032">
        <f t="shared" ref="K433:K435" ca="1" si="192">IF(I433&gt;0,J433*100/I433,0)</f>
        <v>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0</v>
      </c>
      <c r="K434" s="1032">
        <f t="shared" ca="1" si="192"/>
        <v>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IFERROR(__xludf.DUMMYFUNCTION("IMPORTRANGE(""https://docs.google.com/spreadsheets/d/1QqKyyYR6Q21VydFLVH3TRQUabQu_ym0Zz7PgGX0-kHA/edit?usp=sharing"",""แผน!FE44"")"),0)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0</v>
      </c>
      <c r="K439" s="893">
        <f t="shared" ca="1" si="194"/>
        <v>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IFERROR(__xludf.DUMMYFUNCTION("IMPORTRANGE(""https://docs.google.com/spreadsheets/d/1QqKyyYR6Q21VydFLVH3TRQUabQu_ym0Zz7PgGX0-kHA/edit?usp=sharing"",""แผน!FG44"")"),1)</f>
        <v>1</v>
      </c>
      <c r="J440" s="1024">
        <v>0</v>
      </c>
      <c r="K440" s="893">
        <f t="shared" ca="1" si="194"/>
        <v>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IFERROR(__xludf.DUMMYFUNCTION("IMPORTRANGE(""https://docs.google.com/spreadsheets/d/1QqKyyYR6Q21VydFLVH3TRQUabQu_ym0Zz7PgGX0-kHA/edit?usp=sharing"",""แผน!FH44"")"),0)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40</v>
      </c>
      <c r="J442" s="1322">
        <f t="shared" si="195"/>
        <v>40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200</v>
      </c>
      <c r="J443" s="1306">
        <f t="shared" si="196"/>
        <v>200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403680</v>
      </c>
      <c r="M444" s="1032">
        <f t="shared" ca="1" si="197"/>
        <v>403680</v>
      </c>
      <c r="N444" s="1032">
        <f t="shared" si="197"/>
        <v>158750</v>
      </c>
      <c r="O444" s="1032">
        <f t="shared" ref="O444:O449" ca="1" si="198">IF(L444&gt;0,N444*100/L444,0)</f>
        <v>39.325703527546573</v>
      </c>
      <c r="P444" s="1032">
        <f t="shared" ref="P444:P449" ca="1" si="199">IF(M444&gt;0,N444*100/M444,0)</f>
        <v>39.325703527546573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403680</v>
      </c>
      <c r="M446" s="899">
        <f t="shared" ca="1" si="200"/>
        <v>403680</v>
      </c>
      <c r="N446" s="899">
        <f t="shared" si="200"/>
        <v>158750</v>
      </c>
      <c r="O446" s="899">
        <f t="shared" ca="1" si="198"/>
        <v>39.325703527546573</v>
      </c>
      <c r="P446" s="899">
        <f t="shared" ca="1" si="199"/>
        <v>39.325703527546573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403680</v>
      </c>
      <c r="M447" s="893">
        <f t="shared" ca="1" si="201"/>
        <v>403680</v>
      </c>
      <c r="N447" s="893">
        <f t="shared" si="201"/>
        <v>158750</v>
      </c>
      <c r="O447" s="893">
        <f t="shared" ca="1" si="198"/>
        <v>39.325703527546573</v>
      </c>
      <c r="P447" s="893">
        <f t="shared" ca="1" si="199"/>
        <v>39.325703527546573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IFERROR(__xludf.DUMMYFUNCTION("IMPORTRANGE(""https://docs.google.com/spreadsheets/d/1QqKyyYR6Q21VydFLVH3TRQUabQu_ym0Zz7PgGX0-kHA/edit?usp=sharing"",""แผน!FJ44"")"),403680)</f>
        <v>403680</v>
      </c>
      <c r="M449" s="899">
        <f ca="1">L449</f>
        <v>403680</v>
      </c>
      <c r="N449" s="899">
        <f>N450+N451+N452+N453</f>
        <v>158750</v>
      </c>
      <c r="O449" s="899">
        <f t="shared" ca="1" si="198"/>
        <v>39.325703527546573</v>
      </c>
      <c r="P449" s="899">
        <f t="shared" ca="1" si="199"/>
        <v>39.325703527546573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36190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61400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52000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9160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IFERROR(__xludf.DUMMYFUNCTION("IMPORTRANGE(""https://docs.google.com/spreadsheets/d/1QqKyyYR6Q21VydFLVH3TRQUabQu_ym0Zz7PgGX0-kHA/edit?usp=sharing"",""แผน!FM44"")"),0)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IFERROR(__xludf.DUMMYFUNCTION("IMPORTRANGE(""https://docs.google.com/spreadsheets/d/1QqKyyYR6Q21VydFLVH3TRQUabQu_ym0Zz7PgGX0-kHA/edit?usp=sharing"",""แผน!FN44"")"),40)</f>
        <v>40</v>
      </c>
      <c r="J460" s="1024">
        <v>40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IFERROR(__xludf.DUMMYFUNCTION("IMPORTRANGE(""https://docs.google.com/spreadsheets/d/1QqKyyYR6Q21VydFLVH3TRQUabQu_ym0Zz7PgGX0-kHA/edit?usp=sharing"",""แผน!FO44"")"),200)</f>
        <v>200</v>
      </c>
      <c r="J462" s="1024">
        <v>200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IFERROR(__xludf.DUMMYFUNCTION("IMPORTRANGE(""https://docs.google.com/spreadsheets/d/1QqKyyYR6Q21VydFLVH3TRQUabQu_ym0Zz7PgGX0-kHA/edit?usp=sharing"",""แผน!FO44"")"),200)</f>
        <v>200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IFERROR(__xludf.DUMMYFUNCTION("IMPORTRANGE(""https://docs.google.com/spreadsheets/d/1QqKyyYR6Q21VydFLVH3TRQUabQu_ym0Zz7PgGX0-kHA/edit?usp=sharing"",""แผน!FN44"")"),40)</f>
        <v>40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IFERROR(__xludf.DUMMYFUNCTION("IMPORTRANGE(""https://docs.google.com/spreadsheets/d/1QqKyyYR6Q21VydFLVH3TRQUabQu_ym0Zz7PgGX0-kHA/edit?usp=sharing"",""แผน!FX44"")"),51)</f>
        <v>51</v>
      </c>
      <c r="J465" s="1322">
        <f>J485+J489+J492</f>
        <v>51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IFERROR(__xludf.DUMMYFUNCTION("IMPORTRANGE(""https://docs.google.com/spreadsheets/d/1QqKyyYR6Q21VydFLVH3TRQUabQu_ym0Zz7PgGX0-kHA/edit?usp=sharing"",""แผน!FW44"")"),500)</f>
        <v>500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414503</v>
      </c>
      <c r="M467" s="1032">
        <f t="shared" ca="1" si="206"/>
        <v>414503</v>
      </c>
      <c r="N467" s="1032">
        <f t="shared" si="206"/>
        <v>41595.1</v>
      </c>
      <c r="O467" s="1032">
        <f t="shared" ref="O467:O472" ca="1" si="207">IF(L467&gt;0,N467*100/L467,0)</f>
        <v>10.034933402170793</v>
      </c>
      <c r="P467" s="1032">
        <f t="shared" ref="P467:P472" ca="1" si="208">IF(M467&gt;0,N467*100/M467,0)</f>
        <v>10.034933402170793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414503</v>
      </c>
      <c r="M469" s="899">
        <f t="shared" ca="1" si="209"/>
        <v>414503</v>
      </c>
      <c r="N469" s="899">
        <f t="shared" si="209"/>
        <v>41595.1</v>
      </c>
      <c r="O469" s="899">
        <f t="shared" ca="1" si="207"/>
        <v>10.034933402170793</v>
      </c>
      <c r="P469" s="899">
        <f t="shared" ca="1" si="208"/>
        <v>10.034933402170793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414503</v>
      </c>
      <c r="M470" s="893">
        <f t="shared" ca="1" si="210"/>
        <v>414503</v>
      </c>
      <c r="N470" s="893">
        <f t="shared" si="210"/>
        <v>41595.1</v>
      </c>
      <c r="O470" s="893">
        <f t="shared" ca="1" si="207"/>
        <v>10.034933402170793</v>
      </c>
      <c r="P470" s="893">
        <f t="shared" ca="1" si="208"/>
        <v>10.034933402170793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IFERROR(__xludf.DUMMYFUNCTION("IMPORTRANGE(""https://docs.google.com/spreadsheets/d/1QqKyyYR6Q21VydFLVH3TRQUabQu_ym0Zz7PgGX0-kHA/edit?usp=sharing"",""แผน!FS44"")"),414503)</f>
        <v>414503</v>
      </c>
      <c r="M472" s="899">
        <f ca="1">L472</f>
        <v>414503</v>
      </c>
      <c r="N472" s="899">
        <f>N473+N474+N475+N476</f>
        <v>41595.1</v>
      </c>
      <c r="O472" s="899">
        <f t="shared" ca="1" si="207"/>
        <v>10.034933402170793</v>
      </c>
      <c r="P472" s="899">
        <f t="shared" ca="1" si="208"/>
        <v>10.034933402170793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39875.1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1720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IFERROR(__xludf.DUMMYFUNCTION("IMPORTRANGE(""https://docs.google.com/spreadsheets/d/1QqKyyYR6Q21VydFLVH3TRQUabQu_ym0Zz7PgGX0-kHA/edit?usp=sharing"",""แผน!FV44"")"),0)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IFERROR(__xludf.DUMMYFUNCTION("IMPORTRANGE(""https://docs.google.com/spreadsheets/d/1QqKyyYR6Q21VydFLVH3TRQUabQu_ym0Zz7PgGX0-kHA/edit?usp=sharing"",""แผน!FY44"")"),450)</f>
        <v>450</v>
      </c>
      <c r="J483" s="1024">
        <v>450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IFERROR(__xludf.DUMMYFUNCTION("IMPORTRANGE(""https://docs.google.com/spreadsheets/d/1QqKyyYR6Q21VydFLVH3TRQUabQu_ym0Zz7PgGX0-kHA/edit?usp=sharing"",""แผน!FZ44"")"),45)</f>
        <v>45</v>
      </c>
      <c r="J485" s="1024">
        <v>45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IFERROR(__xludf.DUMMYFUNCTION("IMPORTRANGE(""https://docs.google.com/spreadsheets/d/1QqKyyYR6Q21VydFLVH3TRQUabQu_ym0Zz7PgGX0-kHA/edit?usp=sharing"",""แผน!GA44"")"),50)</f>
        <v>50</v>
      </c>
      <c r="J487" s="1024">
        <v>50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IFERROR(__xludf.DUMMYFUNCTION("IMPORTRANGE(""https://docs.google.com/spreadsheets/d/1QqKyyYR6Q21VydFLVH3TRQUabQu_ym0Zz7PgGX0-kHA/edit?usp=sharing"",""แผน!GB44"")"),5)</f>
        <v>5</v>
      </c>
      <c r="J489" s="1024">
        <v>5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IFERROR(__xludf.DUMMYFUNCTION("IMPORTRANGE(""https://docs.google.com/spreadsheets/d/1QqKyyYR6Q21VydFLVH3TRQUabQu_ym0Zz7PgGX0-kHA/edit?usp=sharing"",""แผน!GC44"")"),1)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IFERROR(__xludf.DUMMYFUNCTION("IMPORTRANGE(""https://docs.google.com/spreadsheets/d/1QqKyyYR6Q21VydFLVH3TRQUabQu_ym0Zz7PgGX0-kHA/edit?usp=sharing"",""แผน!FY44"")"),450)</f>
        <v>450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IFERROR(__xludf.DUMMYFUNCTION("IMPORTRANGE(""https://docs.google.com/spreadsheets/d/1QqKyyYR6Q21VydFLVH3TRQUabQu_ym0Zz7PgGX0-kHA/edit?usp=sharing"",""แผน!GA44"")"),50)</f>
        <v>50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IFERROR(__xludf.DUMMYFUNCTION("IMPORTRANGE(""https://docs.google.com/spreadsheets/d/1QqKyyYR6Q21VydFLVH3TRQUabQu_ym0Zz7PgGX0-kHA/edit?usp=sharing"",""แผน!GQ44"")"),0)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IFERROR(__xludf.DUMMYFUNCTION("IMPORTRANGE(""https://docs.google.com/spreadsheets/d/1QqKyyYR6Q21VydFLVH3TRQUabQu_ym0Zz7PgGX0-kHA/edit?usp=sharing"",""แผน!GT44"")"),0)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IFERROR(__xludf.DUMMYFUNCTION("IMPORTRANGE(""https://docs.google.com/spreadsheets/d/1QqKyyYR6Q21VydFLVH3TRQUabQu_ym0Zz7PgGX0-kHA/edit?usp=sharing"",""แผน!GU44"")"),0)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IFERROR(__xludf.DUMMYFUNCTION("IMPORTRANGE(""https://docs.google.com/spreadsheets/d/1QqKyyYR6Q21VydFLVH3TRQUabQu_ym0Zz7PgGX0-kHA/edit?usp=sharing"",""แผน!GV44"")"),0)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IFERROR(__xludf.DUMMYFUNCTION("IMPORTRANGE(""https://docs.google.com/spreadsheets/d/1QqKyyYR6Q21VydFLVH3TRQUabQu_ym0Zz7PgGX0-kHA/edit?usp=sharing"",""แผน!GW44"")"),0)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IFERROR(__xludf.DUMMYFUNCTION("IMPORTRANGE(""https://docs.google.com/spreadsheets/d/1QqKyyYR6Q21VydFLVH3TRQUabQu_ym0Zz7PgGX0-kHA/edit?usp=sharing"",""แผน!GX44"")"),0)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IFERROR(__xludf.DUMMYFUNCTION("IMPORTRANGE(""https://docs.google.com/spreadsheets/d/1QqKyyYR6Q21VydFLVH3TRQUabQu_ym0Zz7PgGX0-kHA/edit?usp=sharing"",""แผน!GY44"")"),0)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IFERROR(__xludf.DUMMYFUNCTION("IMPORTRANGE(""https://docs.google.com/spreadsheets/d/1QqKyyYR6Q21VydFLVH3TRQUabQu_ym0Zz7PgGX0-kHA/edit?usp=sharing"",""แผน!GZ44"")"),0)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11002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786183</v>
      </c>
      <c r="M544" s="1004">
        <f t="shared" ca="1" si="236"/>
        <v>786183</v>
      </c>
      <c r="N544" s="1004">
        <f t="shared" si="236"/>
        <v>152760</v>
      </c>
      <c r="O544" s="1004">
        <f t="shared" ref="O544:O549" ca="1" si="237">IF(L544&gt;0,N544*100/L544,0)</f>
        <v>19.4305905876876</v>
      </c>
      <c r="P544" s="1004">
        <f t="shared" ref="P544:P549" ca="1" si="238">IF(M544&gt;0,N544*100/M544,0)</f>
        <v>19.4305905876876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786183</v>
      </c>
      <c r="M546" s="899">
        <f t="shared" ca="1" si="240"/>
        <v>786183</v>
      </c>
      <c r="N546" s="899">
        <f t="shared" si="240"/>
        <v>152760</v>
      </c>
      <c r="O546" s="899">
        <f t="shared" ca="1" si="237"/>
        <v>19.4305905876876</v>
      </c>
      <c r="P546" s="899">
        <f t="shared" ca="1" si="238"/>
        <v>19.4305905876876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786183</v>
      </c>
      <c r="M547" s="893">
        <f t="shared" ca="1" si="241"/>
        <v>786183</v>
      </c>
      <c r="N547" s="893">
        <f t="shared" si="241"/>
        <v>152760</v>
      </c>
      <c r="O547" s="893">
        <f t="shared" ca="1" si="237"/>
        <v>19.4305905876876</v>
      </c>
      <c r="P547" s="893">
        <f t="shared" ca="1" si="238"/>
        <v>19.4305905876876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IFERROR(__xludf.DUMMYFUNCTION("IMPORTRANGE(""https://docs.google.com/spreadsheets/d/1QqKyyYR6Q21VydFLVH3TRQUabQu_ym0Zz7PgGX0-kHA/edit?usp=sharing"",""แผน!HB44"")"),786183)</f>
        <v>786183</v>
      </c>
      <c r="M549" s="899">
        <f ca="1">L549</f>
        <v>786183</v>
      </c>
      <c r="N549" s="899">
        <f>N550+N551+N552+N553+N554</f>
        <v>152760</v>
      </c>
      <c r="O549" s="899">
        <f t="shared" ca="1" si="237"/>
        <v>19.4305905876876</v>
      </c>
      <c r="P549" s="899">
        <f t="shared" ca="1" si="238"/>
        <v>19.4305905876876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52000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100760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IFERROR(__xludf.DUMMYFUNCTION("IMPORTRANGE(""https://docs.google.com/spreadsheets/d/1QqKyyYR6Q21VydFLVH3TRQUabQu_ym0Zz7PgGX0-kHA/edit?usp=sharing"",""แผน!HF44"")"),0)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11002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IFERROR(__xludf.DUMMYFUNCTION("IMPORTRANGE(""https://docs.google.com/spreadsheets/d/1QqKyyYR6Q21VydFLVH3TRQUabQu_ym0Zz7PgGX0-kHA/edit?usp=sharing"",""แผน!HH44"")"),11002)</f>
        <v>11002</v>
      </c>
      <c r="J560" s="1030">
        <f t="shared" ref="J560:J561" si="247">J562+J564+J566</f>
        <v>11005.5</v>
      </c>
      <c r="K560" s="1174">
        <f t="shared" ca="1" si="246"/>
        <v>100.03181239774587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IFERROR(__xludf.DUMMYFUNCTION("IMPORTRANGE(""https://docs.google.com/spreadsheets/d/1QqKyyYR6Q21VydFLVH3TRQUabQu_ym0Zz7PgGX0-kHA/edit?usp=sharing"",""แผน!HG44"")"),4838)</f>
        <v>4838</v>
      </c>
      <c r="J561" s="1030">
        <f t="shared" si="247"/>
        <v>4838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8505.2000000000007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3981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1549.3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492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951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365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IFERROR(__xludf.DUMMYFUNCTION("IMPORTRANGE(""https://docs.google.com/spreadsheets/d/1QqKyyYR6Q21VydFLVH3TRQUabQu_ym0Zz7PgGX0-kHA/edit?usp=sharing"",""แผน!HH44"")"),11002)</f>
        <v>11002</v>
      </c>
      <c r="J568" s="1031">
        <f t="shared" ref="J568:J569" si="248">J570+J572+J574</f>
        <v>11002.67</v>
      </c>
      <c r="K568" s="1174">
        <f t="shared" ref="K568:K569" ca="1" si="249">IF(I568&gt;0,J568*100/I568,0)</f>
        <v>100.0060898018542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IFERROR(__xludf.DUMMYFUNCTION("IMPORTRANGE(""https://docs.google.com/spreadsheets/d/1QqKyyYR6Q21VydFLVH3TRQUabQu_ym0Zz7PgGX0-kHA/edit?usp=sharing"",""แผน!HG44"")"),4838)</f>
        <v>4838</v>
      </c>
      <c r="J569" s="1031">
        <f t="shared" si="248"/>
        <v>4838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8560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4013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1399.67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440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1043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385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IFERROR(__xludf.DUMMYFUNCTION("IMPORTRANGE(""https://docs.google.com/spreadsheets/d/1QqKyyYR6Q21VydFLVH3TRQUabQu_ym0Zz7PgGX0-kHA/edit?usp=sharing"",""แผน!HH44"")"),11002)</f>
        <v>11002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IFERROR(__xludf.DUMMYFUNCTION("IMPORTRANGE(""https://docs.google.com/spreadsheets/d/1QqKyyYR6Q21VydFLVH3TRQUabQu_ym0Zz7PgGX0-kHA/edit?usp=sharing"",""แผน!HG44"")"),4838)</f>
        <v>4838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5265.94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IFERROR(__xludf.DUMMYFUNCTION("IMPORTRANGE(""https://docs.google.com/spreadsheets/d/1QqKyyYR6Q21VydFLVH3TRQUabQu_ym0Zz7PgGX0-kHA/edit?usp=sharing"",""แผน!HJ44"")"),5265.94)</f>
        <v>5265.94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IFERROR(__xludf.DUMMYFUNCTION("IMPORTRANGE(""https://docs.google.com/spreadsheets/d/1QqKyyYR6Q21VydFLVH3TRQUabQu_ym0Zz7PgGX0-kHA/edit?usp=sharing"",""แผน!HI44"")"),1025)</f>
        <v>1025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IFERROR(__xludf.DUMMYFUNCTION("IMPORTRANGE(""https://docs.google.com/spreadsheets/d/1QqKyyYR6Q21VydFLVH3TRQUabQu_ym0Zz7PgGX0-kHA/edit?usp=sharing"",""แผน!HL44"")"),52)</f>
        <v>52</v>
      </c>
      <c r="J620" s="1429">
        <f t="shared" ref="J620:J621" si="260">J622+J624+J626</f>
        <v>30.62</v>
      </c>
      <c r="K620" s="1430">
        <f t="shared" ref="K620:K621" ca="1" si="261">IF(I620&gt;0,J620*100/I620,0)</f>
        <v>58.884615384615387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IFERROR(__xludf.DUMMYFUNCTION("IMPORTRANGE(""https://docs.google.com/spreadsheets/d/1QqKyyYR6Q21VydFLVH3TRQUabQu_ym0Zz7PgGX0-kHA/edit?usp=sharing"",""แผน!HK44"")"),18)</f>
        <v>18</v>
      </c>
      <c r="J621" s="1429">
        <f t="shared" si="260"/>
        <v>11</v>
      </c>
      <c r="K621" s="1430">
        <f t="shared" ca="1" si="261"/>
        <v>61.111111111111114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30.62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11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350</v>
      </c>
      <c r="J628" s="1438">
        <f t="shared" ca="1" si="262"/>
        <v>137</v>
      </c>
      <c r="K628" s="1439">
        <f ca="1">IF(I628&gt;0,J628*100/I628,0)</f>
        <v>39.142857142857146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532545</v>
      </c>
      <c r="M629" s="1032">
        <f t="shared" ca="1" si="263"/>
        <v>532545</v>
      </c>
      <c r="N629" s="1032">
        <f t="shared" si="263"/>
        <v>283390</v>
      </c>
      <c r="O629" s="1032">
        <f t="shared" ref="O629:O634" ca="1" si="264">IF(L629&gt;0,N629*100/L629,0)</f>
        <v>53.214282361115025</v>
      </c>
      <c r="P629" s="1032">
        <f t="shared" ref="P629:P634" ca="1" si="265">IF(M629&gt;0,N629*100/M629,0)</f>
        <v>53.214282361115025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532545</v>
      </c>
      <c r="M631" s="899">
        <f t="shared" ca="1" si="266"/>
        <v>532545</v>
      </c>
      <c r="N631" s="899">
        <f t="shared" si="266"/>
        <v>283390</v>
      </c>
      <c r="O631" s="899">
        <f t="shared" ca="1" si="264"/>
        <v>53.214282361115025</v>
      </c>
      <c r="P631" s="899">
        <f t="shared" ca="1" si="265"/>
        <v>53.214282361115025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532545</v>
      </c>
      <c r="M632" s="893">
        <f t="shared" ca="1" si="267"/>
        <v>532545</v>
      </c>
      <c r="N632" s="893">
        <f t="shared" si="267"/>
        <v>283390</v>
      </c>
      <c r="O632" s="893">
        <f t="shared" ca="1" si="264"/>
        <v>53.214282361115025</v>
      </c>
      <c r="P632" s="893">
        <f t="shared" ca="1" si="265"/>
        <v>53.214282361115025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IFERROR(__xludf.DUMMYFUNCTION("IMPORTRANGE(""https://docs.google.com/spreadsheets/d/1QqKyyYR6Q21VydFLVH3TRQUabQu_ym0Zz7PgGX0-kHA/edit?usp=sharing"",""แผน!HN44"")"),532545)</f>
        <v>532545</v>
      </c>
      <c r="M634" s="899">
        <f ca="1">L634</f>
        <v>532545</v>
      </c>
      <c r="N634" s="899">
        <f>N635+N636+N637+N638</f>
        <v>283390</v>
      </c>
      <c r="O634" s="899">
        <f t="shared" ca="1" si="264"/>
        <v>53.214282361115025</v>
      </c>
      <c r="P634" s="899">
        <f t="shared" ca="1" si="265"/>
        <v>53.214282361115025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52000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231390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IFERROR(__xludf.DUMMYFUNCTION("IMPORTRANGE(""https://docs.google.com/spreadsheets/d/1QqKyyYR6Q21VydFLVH3TRQUabQu_ym0Zz7PgGX0-kHA/edit?usp=sharing"",""แผน!HQ44"")"),0)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IFERROR(__xludf.DUMMYFUNCTION("IMPORTRANGE(""https://docs.google.com/spreadsheets/d/1QqKyyYR6Q21VydFLVH3TRQUabQu_ym0Zz7PgGX0-kHA/edit?usp=sharing"",""แผน!HR44"")"),0)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IFERROR(__xludf.DUMMYFUNCTION("IMPORTRANGE(""https://docs.google.com/spreadsheets/d/1QqKyyYR6Q21VydFLVH3TRQUabQu_ym0Zz7PgGX0-kHA/edit?usp=sharing"",""แผน!HR44"")"),0)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IFERROR(__xludf.DUMMYFUNCTION("IMPORTRANGE(""https://docs.google.com/spreadsheets/d/1XWAQStnk-4SwqDmLtmXYiTMKHgktTP8We1SCoS47DrQ/edit?usp=sharing"",""จัดที่ดิน!AS44"")"),372)</f>
        <v>372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IFERROR(__xludf.DUMMYFUNCTION("IMPORTRANGE(""https://docs.google.com/spreadsheets/d/1XWAQStnk-4SwqDmLtmXYiTMKHgktTP8We1SCoS47DrQ/edit?usp=sharing"",""จัดที่ดิน!AT44"")"),202.96)</f>
        <v>202.96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IFERROR(__xludf.DUMMYFUNCTION("IMPORTRANGE(""https://docs.google.com/spreadsheets/d/1QqKyyYR6Q21VydFLVH3TRQUabQu_ym0Zz7PgGX0-kHA/edit?usp=sharing"",""แผน!HS44"")"),350)</f>
        <v>350</v>
      </c>
      <c r="J647" s="892">
        <f ca="1">IFERROR(__xludf.DUMMYFUNCTION("IMPORTRANGE(""https://docs.google.com/spreadsheets/d/1XWAQStnk-4SwqDmLtmXYiTMKHgktTP8We1SCoS47DrQ/edit?usp=sharing"",""จัดที่ดิน!AU44"")"),244)</f>
        <v>244</v>
      </c>
      <c r="K647" s="1010">
        <f t="shared" ca="1" si="271"/>
        <v>69.714285714285708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IFERROR(__xludf.DUMMYFUNCTION("IMPORTRANGE(""https://docs.google.com/spreadsheets/d/1XWAQStnk-4SwqDmLtmXYiTMKHgktTP8We1SCoS47DrQ/edit?usp=sharing"",""จัดที่ดิน!AV44"")"),116.11)</f>
        <v>116.11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IFERROR(__xludf.DUMMYFUNCTION("IMPORTRANGE(""https://docs.google.com/spreadsheets/d/1QqKyyYR6Q21VydFLVH3TRQUabQu_ym0Zz7PgGX0-kHA/edit?usp=sharing"",""แผน!HS44"")"),350)</f>
        <v>350</v>
      </c>
      <c r="J649" s="892">
        <f ca="1">IFERROR(__xludf.DUMMYFUNCTION("IMPORTRANGE(""https://docs.google.com/spreadsheets/d/1XWAQStnk-4SwqDmLtmXYiTMKHgktTP8We1SCoS47DrQ/edit?usp=sharing"",""จัดที่ดิน!AW44"")"),159)</f>
        <v>159</v>
      </c>
      <c r="K649" s="1010">
        <f t="shared" ca="1" si="271"/>
        <v>45.428571428571431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IFERROR(__xludf.DUMMYFUNCTION("IMPORTRANGE(""https://docs.google.com/spreadsheets/d/1XWAQStnk-4SwqDmLtmXYiTMKHgktTP8We1SCoS47DrQ/edit?usp=sharing"",""จัดที่ดิน!AX44"")"),71.82)</f>
        <v>71.819999999999993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IFERROR(__xludf.DUMMYFUNCTION("IMPORTRANGE(""https://docs.google.com/spreadsheets/d/1QqKyyYR6Q21VydFLVH3TRQUabQu_ym0Zz7PgGX0-kHA/edit?usp=sharing"",""แผน!HS44"")"),350)</f>
        <v>350</v>
      </c>
      <c r="J651" s="892">
        <f ca="1">IFERROR(__xludf.DUMMYFUNCTION("IMPORTRANGE(""https://docs.google.com/spreadsheets/d/1XWAQStnk-4SwqDmLtmXYiTMKHgktTP8We1SCoS47DrQ/edit?usp=sharing"",""จัดที่ดิน!AY44"")"),137)</f>
        <v>137</v>
      </c>
      <c r="K651" s="1010">
        <f t="shared" ca="1" si="271"/>
        <v>39.142857142857146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IFERROR(__xludf.DUMMYFUNCTION("IMPORTRANGE(""https://docs.google.com/spreadsheets/d/1XWAQStnk-4SwqDmLtmXYiTMKHgktTP8We1SCoS47DrQ/edit?usp=sharing"",""จัดที่ดิน!AZ44"")"),59.16)</f>
        <v>59.16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13340</v>
      </c>
      <c r="O655" s="1032">
        <f t="shared" ref="O655:O660" ca="1" si="274">IF(L655&gt;0,N655*100/L655,0)</f>
        <v>85.512820512820511</v>
      </c>
      <c r="P655" s="1032">
        <f t="shared" ref="P655:P660" ca="1" si="275">IF(M655&gt;0,N655*100/M655,0)</f>
        <v>85.512820512820511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13340</v>
      </c>
      <c r="O657" s="899">
        <f t="shared" ca="1" si="274"/>
        <v>85.512820512820511</v>
      </c>
      <c r="P657" s="899">
        <f t="shared" ca="1" si="275"/>
        <v>85.512820512820511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13340</v>
      </c>
      <c r="O658" s="893">
        <f t="shared" ca="1" si="274"/>
        <v>85.512820512820511</v>
      </c>
      <c r="P658" s="893">
        <f t="shared" ca="1" si="275"/>
        <v>85.512820512820511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IFERROR(__xludf.DUMMYFUNCTION("IMPORTRANGE(""https://docs.google.com/spreadsheets/d/1QqKyyYR6Q21VydFLVH3TRQUabQu_ym0Zz7PgGX0-kHA/edit?usp=sharing"",""แผน!HV44"")"),15600)</f>
        <v>15600</v>
      </c>
      <c r="M660" s="899">
        <f ca="1">L660</f>
        <v>15600</v>
      </c>
      <c r="N660" s="899">
        <f>N661+N662+N663+N664</f>
        <v>13340</v>
      </c>
      <c r="O660" s="899">
        <f t="shared" ca="1" si="274"/>
        <v>85.512820512820511</v>
      </c>
      <c r="P660" s="899">
        <f t="shared" ca="1" si="275"/>
        <v>85.512820512820511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13340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IFERROR(__xludf.DUMMYFUNCTION("IMPORTRANGE(""https://docs.google.com/spreadsheets/d/1QqKyyYR6Q21VydFLVH3TRQUabQu_ym0Zz7PgGX0-kHA/edit?usp=sharing"",""แผน!IA44"")"),100)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IFERROR(__xludf.DUMMYFUNCTION("IMPORTRANGE(""https://docs.google.com/spreadsheets/d/1QqKyyYR6Q21VydFLVH3TRQUabQu_ym0Zz7PgGX0-kHA/edit?usp=sharing"",""แผน!HZ44"")"),6)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IFERROR(__xludf.DUMMYFUNCTION("IMPORTRANGE(""https://docs.google.com/spreadsheets/d/1QqKyyYR6Q21VydFLVH3TRQUabQu_ym0Zz7PgGX0-kHA/edit?usp=sharing"",""แผน!HZ44"")"),6)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18</v>
      </c>
      <c r="K672" s="893">
        <f t="shared" ref="K672:K675" ca="1" si="281">IF(I$669&gt;0,J672*100/I$669,0)</f>
        <v>18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18</v>
      </c>
      <c r="K673" s="893">
        <f t="shared" ca="1" si="281"/>
        <v>18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IFERROR(__xludf.DUMMYFUNCTION("IMPORTRANGE(""https://docs.google.com/spreadsheets/d/1QqKyyYR6Q21VydFLVH3TRQUabQu_ym0Zz7PgGX0-kHA/edit?usp=sharing"",""แผน!IB44"")"),0)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 hidden="1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 hidden="1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0</v>
      </c>
      <c r="M685" s="1032">
        <f t="shared" si="282"/>
        <v>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0</v>
      </c>
      <c r="M687" s="899">
        <f t="shared" si="285"/>
        <v>0</v>
      </c>
      <c r="N687" s="899">
        <f t="shared" si="285"/>
        <v>0</v>
      </c>
      <c r="O687" s="899">
        <f t="shared" ca="1" si="283"/>
        <v>0</v>
      </c>
      <c r="P687" s="899">
        <f t="shared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 hidden="1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0</v>
      </c>
      <c r="M688" s="893">
        <f t="shared" si="286"/>
        <v>0</v>
      </c>
      <c r="N688" s="893">
        <f t="shared" si="286"/>
        <v>0</v>
      </c>
      <c r="O688" s="893">
        <f t="shared" ca="1" si="283"/>
        <v>0</v>
      </c>
      <c r="P688" s="893">
        <f t="shared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IFERROR(__xludf.DUMMYFUNCTION("IMPORTRANGE(""https://docs.google.com/spreadsheets/d/1QqKyyYR6Q21VydFLVH3TRQUabQu_ym0Zz7PgGX0-kHA/edit?usp=sharing"",""แผน!HW44"")"),0)</f>
        <v>0</v>
      </c>
      <c r="M690" s="899">
        <v>0</v>
      </c>
      <c r="N690" s="899">
        <f>N691+N692+N693+N694</f>
        <v>0</v>
      </c>
      <c r="O690" s="899">
        <f ca="1">IF(L690&gt;0,N690*100/L690,0)</f>
        <v>0</v>
      </c>
      <c r="P690" s="899">
        <f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 hidden="1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 hidden="1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 hidden="1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 hidden="1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 hidden="1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 hidden="1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 hidden="1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IFERROR(__xludf.DUMMYFUNCTION("IMPORTRANGE(""https://docs.google.com/spreadsheets/d/1QqKyyYR6Q21VydFLVH3TRQUabQu_ym0Zz7PgGX0-kHA/edit?usp=sharing"",""แผน!IC44"")"),0)</f>
        <v>0</v>
      </c>
      <c r="J699" s="892">
        <f ca="1">IFERROR(__xludf.DUMMYFUNCTION("IMPORTRANGE(""https://docs.google.com/spreadsheets/d/1XWAQStnk-4SwqDmLtmXYiTMKHgktTP8We1SCoS47DrQ/edit?usp=sharing"",""จัดที่ดิน!BB44"")"),0)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 hidden="1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IFERROR(__xludf.DUMMYFUNCTION("IMPORTRANGE(""https://docs.google.com/spreadsheets/d/1QqKyyYR6Q21VydFLVH3TRQUabQu_ym0Zz7PgGX0-kHA/edit?usp=sharing"",""แผน!ID44"")"),0)</f>
        <v>0</v>
      </c>
      <c r="J700" s="892">
        <f ca="1">IFERROR(__xludf.DUMMYFUNCTION("IMPORTRANGE(""https://docs.google.com/spreadsheets/d/1XWAQStnk-4SwqDmLtmXYiTMKHgktTP8We1SCoS47DrQ/edit?usp=sharing"",""จัดที่ดิน!BD44"")"),0)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IFERROR(__xludf.DUMMYFUNCTION("IMPORTRANGE(""https://docs.google.com/spreadsheets/d/1QqKyyYR6Q21VydFLVH3TRQUabQu_ym0Zz7PgGX0-kHA/edit?usp=sharing"",""แผน!IE44"")"),0)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IFERROR(__xludf.DUMMYFUNCTION("IMPORTRANGE(""https://docs.google.com/spreadsheets/d/1QqKyyYR6Q21VydFLVH3TRQUabQu_ym0Zz7PgGX0-kHA/edit?usp=sharing"",""แผน!IF44"")"),0)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IFERROR(__xludf.DUMMYFUNCTION("IMPORTRANGE(""https://docs.google.com/spreadsheets/d/1QqKyyYR6Q21VydFLVH3TRQUabQu_ym0Zz7PgGX0-kHA/edit?usp=sharing"",""แผน!IG44"")"),0)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IFERROR(__xludf.DUMMYFUNCTION("IMPORTRANGE(""https://docs.google.com/spreadsheets/d/1QqKyyYR6Q21VydFLVH3TRQUabQu_ym0Zz7PgGX0-kHA/edit?usp=sharing"",""แผน!IH44"")"),0)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IFERROR(__xludf.DUMMYFUNCTION("IMPORTRANGE(""https://docs.google.com/spreadsheets/d/1XWAQStnk-4SwqDmLtmXYiTMKHgktTP8We1SCoS47DrQ/edit?usp=sharing"",""จัดที่ดิน!BF44"")"),0)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IFERROR(__xludf.DUMMYFUNCTION("IMPORTRANGE(""https://docs.google.com/spreadsheets/d/1XWAQStnk-4SwqDmLtmXYiTMKHgktTP8We1SCoS47DrQ/edit?usp=sharing"",""จัดที่ดิน!BG44"")"),0)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IFERROR(__xludf.DUMMYFUNCTION("IMPORTRANGE(""https://docs.google.com/spreadsheets/d/1QqKyyYR6Q21VydFLVH3TRQUabQu_ym0Zz7PgGX0-kHA/edit?usp=sharing"",""แผน!II44"")"),0)</f>
        <v>0</v>
      </c>
      <c r="J720" s="892">
        <f ca="1">IFERROR(__xludf.DUMMYFUNCTION("IMPORTRANGE(""https://docs.google.com/spreadsheets/d/1XWAQStnk-4SwqDmLtmXYiTMKHgktTP8We1SCoS47DrQ/edit?usp=sharing"",""จัดที่ดิน!BH44"")"),0)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IFERROR(__xludf.DUMMYFUNCTION("IMPORTRANGE(""https://docs.google.com/spreadsheets/d/1QqKyyYR6Q21VydFLVH3TRQUabQu_ym0Zz7PgGX0-kHA/edit?usp=sharing"",""แผน!IJ44"")"),0)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IFERROR(__xludf.DUMMYFUNCTION("IMPORTRANGE(""https://docs.google.com/spreadsheets/d/1QqKyyYR6Q21VydFLVH3TRQUabQu_ym0Zz7PgGX0-kHA/edit?usp=sharing"",""แผน!IK44"")"),0)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IFERROR(__xludf.DUMMYFUNCTION("IMPORTRANGE(""https://docs.google.com/spreadsheets/d/1QqKyyYR6Q21VydFLVH3TRQUabQu_ym0Zz7PgGX0-kHA/edit?usp=sharing"",""แผน!IL44"")"),0)</f>
        <v>0</v>
      </c>
      <c r="J723" s="892">
        <f ca="1">IFERROR(__xludf.DUMMYFUNCTION("IMPORTRANGE(""https://docs.google.com/spreadsheets/d/1XWAQStnk-4SwqDmLtmXYiTMKHgktTP8We1SCoS47DrQ/edit?usp=sharing"",""จัดที่ดิน!BM44"")"),0)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IFERROR(__xludf.DUMMYFUNCTION("IMPORTRANGE(""https://docs.google.com/spreadsheets/d/1XWAQStnk-4SwqDmLtmXYiTMKHgktTP8We1SCoS47DrQ/edit?usp=sharing"",""จัดที่ดิน!BN44"")"),0)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IFERROR(__xludf.DUMMYFUNCTION("IMPORTRANGE(""https://docs.google.com/spreadsheets/d/1QqKyyYR6Q21VydFLVH3TRQUabQu_ym0Zz7PgGX0-kHA/edit?usp=sharing"",""แผน!IM44"")"),0)</f>
        <v>0</v>
      </c>
      <c r="J725" s="892">
        <f ca="1">IFERROR(__xludf.DUMMYFUNCTION("IMPORTRANGE(""https://docs.google.com/spreadsheets/d/1XWAQStnk-4SwqDmLtmXYiTMKHgktTP8We1SCoS47DrQ/edit?usp=sharing"",""จัดที่ดิน!BO44"")"),0)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IFERROR(__xludf.DUMMYFUNCTION("IMPORTRANGE(""https://docs.google.com/spreadsheets/d/1QqKyyYR6Q21VydFLVH3TRQUabQu_ym0Zz7PgGX0-kHA/edit?usp=sharing"",""แผน!IN44"")"),0)</f>
        <v>0</v>
      </c>
      <c r="J726" s="892">
        <f ca="1">IFERROR(__xludf.DUMMYFUNCTION("IMPORTRANGE(""https://docs.google.com/spreadsheets/d/1XWAQStnk-4SwqDmLtmXYiTMKHgktTP8We1SCoS47DrQ/edit?usp=sharing"",""จัดที่ดิน!BR44"")"),0)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IFERROR(__xludf.DUMMYFUNCTION("IMPORTRANGE(""https://docs.google.com/spreadsheets/d/1XWAQStnk-4SwqDmLtmXYiTMKHgktTP8We1SCoS47DrQ/edit?usp=sharing"",""จัดที่ดิน!BS44"")"),0)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IFERROR(__xludf.DUMMYFUNCTION("IMPORTRANGE(""https://docs.google.com/spreadsheets/d/1QqKyyYR6Q21VydFLVH3TRQUabQu_ym0Zz7PgGX0-kHA/edit?usp=sharing"",""แผน!IO44"")"),0)</f>
        <v>0</v>
      </c>
      <c r="J728" s="892">
        <f ca="1">IFERROR(__xludf.DUMMYFUNCTION("IMPORTRANGE(""https://docs.google.com/spreadsheets/d/1XWAQStnk-4SwqDmLtmXYiTMKHgktTP8We1SCoS47DrQ/edit?usp=sharing"",""จัดที่ดิน!BT44"")"),0)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IFERROR(__xludf.DUMMYFUNCTION("IMPORTRANGE(""https://docs.google.com/spreadsheets/d/1QqKyyYR6Q21VydFLVH3TRQUabQu_ym0Zz7PgGX0-kHA/edit?usp=sharing"",""แผน!IP44"")"),0)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IFERROR(__xludf.DUMMYFUNCTION("IMPORTRANGE(""https://docs.google.com/spreadsheets/d/1QqKyyYR6Q21VydFLVH3TRQUabQu_ym0Zz7PgGX0-kHA/edit?usp=sharing"",""แผน!JJ44"")"),0)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IFERROR(__xludf.DUMMYFUNCTION("IMPORTRANGE(""https://docs.google.com/spreadsheets/d/1QqKyyYR6Q21VydFLVH3TRQUabQu_ym0Zz7PgGX0-kHA/edit?usp=sharing"",""แผน!JN44"")"),0)</f>
        <v>0</v>
      </c>
      <c r="J800" s="1009">
        <f ca="1">IFERROR(__xludf.DUMMYFUNCTION("IMPORTRANGE(""https://docs.google.com/spreadsheets/d/1MaWodYyGHDf7siQLGxnXhG4mBNTNIuy296niS2xXulU/edit?usp=sharing"",""RTK!H44"")"),0)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IFERROR(__xludf.DUMMYFUNCTION("IMPORTRANGE(""https://docs.google.com/spreadsheets/d/1MaWodYyGHDf7siQLGxnXhG4mBNTNIuy296niS2xXulU/edit?usp=sharing"",""RTK!I44"")"),0)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892">
        <f ca="1">IFERROR(__xludf.DUMMYFUNCTION("IMPORTRANGE(""https://docs.google.com/spreadsheets/d/19vJNZY_5yjcGF2XGBMNZRCAIB0Kwfpjp8YEOfu-bneM/edit?usp=sharing"",""งานกองทุน!F44"")"),4583023.6)</f>
        <v>4583023.5999999996</v>
      </c>
      <c r="K821" s="893">
        <f t="shared" ref="K821:K828" ca="1" si="335">IF(I821&gt;0,J821*100/I821,0)</f>
        <v>59.942543556384742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IFERROR(__xludf.DUMMYFUNCTION("IMPORTRANGE(""https://docs.google.com/spreadsheets/d/19vJNZY_5yjcGF2XGBMNZRCAIB0Kwfpjp8YEOfu-bneM/edit?usp=sharing"",""งานกองทุน!C44"")"),595)</f>
        <v>595</v>
      </c>
      <c r="J822" s="892">
        <f ca="1">IFERROR(__xludf.DUMMYFUNCTION("IMPORTRANGE(""https://docs.google.com/spreadsheets/d/19vJNZY_5yjcGF2XGBMNZRCAIB0Kwfpjp8YEOfu-bneM/edit?usp=sharing"",""งานกองทุน!E44"")"),412)</f>
        <v>412</v>
      </c>
      <c r="K822" s="893">
        <f t="shared" ca="1" si="335"/>
        <v>69.243697478991592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892">
        <f ca="1">IFERROR(__xludf.DUMMYFUNCTION("IMPORTRANGE(""https://docs.google.com/spreadsheets/d/19vJNZY_5yjcGF2XGBMNZRCAIB0Kwfpjp8YEOfu-bneM/edit?usp=sharing"",""งานกองทุน!K44"")"),1636429.03)</f>
        <v>1636429.03</v>
      </c>
      <c r="K823" s="893">
        <f t="shared" ca="1" si="335"/>
        <v>7.5351452528197607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IFERROR(__xludf.DUMMYFUNCTION("IMPORTRANGE(""https://docs.google.com/spreadsheets/d/19vJNZY_5yjcGF2XGBMNZRCAIB0Kwfpjp8YEOfu-bneM/edit?usp=sharing"",""งานกองทุน!H44"")"),1227)</f>
        <v>1227</v>
      </c>
      <c r="J824" s="892">
        <f ca="1">IFERROR(__xludf.DUMMYFUNCTION("IMPORTRANGE(""https://docs.google.com/spreadsheets/d/19vJNZY_5yjcGF2XGBMNZRCAIB0Kwfpjp8YEOfu-bneM/edit?usp=sharing"",""งานกองทุน!J44"")"),323)</f>
        <v>323</v>
      </c>
      <c r="K824" s="893">
        <f t="shared" ca="1" si="335"/>
        <v>26.324368378158109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892">
        <f ca="1">IFERROR(__xludf.DUMMYFUNCTION("IMPORTRANGE(""https://docs.google.com/spreadsheets/d/19vJNZY_5yjcGF2XGBMNZRCAIB0Kwfpjp8YEOfu-bneM/edit?usp=sharing"",""งานกองทุน!P44"")"),218446.89)</f>
        <v>218446.89</v>
      </c>
      <c r="K825" s="893">
        <f t="shared" ca="1" si="335"/>
        <v>10.447768560892488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IFERROR(__xludf.DUMMYFUNCTION("IMPORTRANGE(""https://docs.google.com/spreadsheets/d/19vJNZY_5yjcGF2XGBMNZRCAIB0Kwfpjp8YEOfu-bneM/edit?usp=sharing"",""งานกองทุน!M44"")"),113)</f>
        <v>113</v>
      </c>
      <c r="J826" s="892">
        <f ca="1">IFERROR(__xludf.DUMMYFUNCTION("IMPORTRANGE(""https://docs.google.com/spreadsheets/d/19vJNZY_5yjcGF2XGBMNZRCAIB0Kwfpjp8YEOfu-bneM/edit?usp=sharing"",""งานกองทุน!O44"")"),51)</f>
        <v>51</v>
      </c>
      <c r="K826" s="893">
        <f t="shared" ca="1" si="335"/>
        <v>45.13274336283186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IFERROR(__xludf.DUMMYFUNCTION("IMPORTRANGE(""https://docs.google.com/spreadsheets/d/19vJNZY_5yjcGF2XGBMNZRCAIB0Kwfpjp8YEOfu-bneM/edit?usp=sharing"",""งานกองทุน!S44"")"),9780000)</f>
        <v>9780000</v>
      </c>
      <c r="J827" s="892">
        <f ca="1">IFERROR(__xludf.DUMMYFUNCTION("IMPORTRANGE(""https://docs.google.com/spreadsheets/d/19vJNZY_5yjcGF2XGBMNZRCAIB0Kwfpjp8YEOfu-bneM/edit?usp=sharing"",""งานกองทุน!U44"")"),9780000)</f>
        <v>9780000</v>
      </c>
      <c r="K827" s="893">
        <f t="shared" ca="1" si="335"/>
        <v>100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IFERROR(__xludf.DUMMYFUNCTION("IMPORTRANGE(""https://docs.google.com/spreadsheets/d/19vJNZY_5yjcGF2XGBMNZRCAIB0Kwfpjp8YEOfu-bneM/edit?usp=sharing"",""งานกองทุน!R44"")"),391)</f>
        <v>391</v>
      </c>
      <c r="J828" s="1149">
        <f ca="1">IFERROR(__xludf.DUMMYFUNCTION("IMPORTRANGE(""https://docs.google.com/spreadsheets/d/19vJNZY_5yjcGF2XGBMNZRCAIB0Kwfpjp8YEOfu-bneM/edit?usp=sharing"",""งานกองทุน!T44"")"),239)</f>
        <v>239</v>
      </c>
      <c r="K828" s="1251">
        <f t="shared" ca="1" si="335"/>
        <v>61.125319693094632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164C-FE5E-4AED-83DD-224D3FF8361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8648762</v>
      </c>
      <c r="M8" s="879">
        <f t="shared" ca="1" si="0"/>
        <v>7655876</v>
      </c>
      <c r="N8" s="879">
        <f t="shared" ca="1" si="0"/>
        <v>4079612.7600000002</v>
      </c>
      <c r="O8" s="879">
        <f t="shared" ref="O8:O16" ca="1" si="1">IF(L8&gt;0,N8*100/L8,0)</f>
        <v>47.169904316941548</v>
      </c>
      <c r="P8" s="879">
        <f t="shared" ref="P8:P16" ca="1" si="2">IF(M8&gt;0,N8*100/M8,0)</f>
        <v>53.287341122034888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8648762</v>
      </c>
      <c r="M10" s="886">
        <f t="shared" ca="1" si="3"/>
        <v>7655876</v>
      </c>
      <c r="N10" s="886">
        <f t="shared" ca="1" si="3"/>
        <v>4079612.7600000002</v>
      </c>
      <c r="O10" s="886">
        <f t="shared" ca="1" si="1"/>
        <v>47.169904316941548</v>
      </c>
      <c r="P10" s="886">
        <f t="shared" ca="1" si="2"/>
        <v>53.287341122034888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8218162</v>
      </c>
      <c r="M11" s="893">
        <f t="shared" ca="1" si="4"/>
        <v>7225276</v>
      </c>
      <c r="N11" s="893">
        <f t="shared" ca="1" si="4"/>
        <v>3649012.7600000002</v>
      </c>
      <c r="O11" s="893">
        <f t="shared" ca="1" si="1"/>
        <v>44.401811013216822</v>
      </c>
      <c r="P11" s="893">
        <f t="shared" ca="1" si="2"/>
        <v>50.50343765414636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8218162</v>
      </c>
      <c r="M13" s="899">
        <f t="shared" ca="1" si="5"/>
        <v>7225276</v>
      </c>
      <c r="N13" s="899">
        <f t="shared" ca="1" si="5"/>
        <v>3649012.7600000002</v>
      </c>
      <c r="O13" s="899">
        <f t="shared" ca="1" si="1"/>
        <v>44.401811013216822</v>
      </c>
      <c r="P13" s="899">
        <f t="shared" ca="1" si="2"/>
        <v>50.50343765414636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430600</v>
      </c>
      <c r="M14" s="893">
        <f t="shared" ca="1" si="6"/>
        <v>430600</v>
      </c>
      <c r="N14" s="893">
        <f t="shared" ca="1" si="6"/>
        <v>430600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430600</v>
      </c>
      <c r="M16" s="905">
        <f t="shared" ca="1" si="7"/>
        <v>430600</v>
      </c>
      <c r="N16" s="905">
        <f t="shared" ca="1" si="7"/>
        <v>430600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5826107</v>
      </c>
      <c r="M18" s="879">
        <f t="shared" ca="1" si="8"/>
        <v>4835226</v>
      </c>
      <c r="N18" s="879">
        <f t="shared" ca="1" si="8"/>
        <v>3049844.8600000003</v>
      </c>
      <c r="O18" s="879">
        <f t="shared" ref="O18:O26" ca="1" si="9">IF(L18&gt;0,N18*100/L18,0)</f>
        <v>52.34790332549678</v>
      </c>
      <c r="P18" s="879">
        <f t="shared" ref="P18:P26" ca="1" si="10">IF(M18&gt;0,N18*100/M18,0)</f>
        <v>63.075538971704745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5826107</v>
      </c>
      <c r="M20" s="886">
        <f t="shared" ca="1" si="11"/>
        <v>4835226</v>
      </c>
      <c r="N20" s="886">
        <f t="shared" ca="1" si="11"/>
        <v>3049844.8600000003</v>
      </c>
      <c r="O20" s="886">
        <f t="shared" ca="1" si="9"/>
        <v>52.34790332549678</v>
      </c>
      <c r="P20" s="886">
        <f t="shared" ca="1" si="10"/>
        <v>63.075538971704745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5395507</v>
      </c>
      <c r="M21" s="893">
        <f t="shared" ca="1" si="12"/>
        <v>4404626</v>
      </c>
      <c r="N21" s="893">
        <f t="shared" ca="1" si="12"/>
        <v>2619244.8600000003</v>
      </c>
      <c r="O21" s="893">
        <f t="shared" ca="1" si="9"/>
        <v>48.544925620520928</v>
      </c>
      <c r="P21" s="893">
        <f t="shared" ca="1" si="10"/>
        <v>59.465772122309595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5395507</v>
      </c>
      <c r="M23" s="899">
        <f t="shared" ca="1" si="13"/>
        <v>4404626</v>
      </c>
      <c r="N23" s="899">
        <f t="shared" ca="1" si="13"/>
        <v>2619244.8600000003</v>
      </c>
      <c r="O23" s="899">
        <f t="shared" ca="1" si="9"/>
        <v>48.544925620520928</v>
      </c>
      <c r="P23" s="899">
        <f t="shared" ca="1" si="10"/>
        <v>59.465772122309595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430600</v>
      </c>
      <c r="M24" s="893">
        <f t="shared" ca="1" si="14"/>
        <v>430600</v>
      </c>
      <c r="N24" s="893">
        <f t="shared" ca="1" si="14"/>
        <v>430600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430600</v>
      </c>
      <c r="M26" s="905">
        <f t="shared" ca="1" si="15"/>
        <v>430600</v>
      </c>
      <c r="N26" s="905">
        <f t="shared" ca="1" si="15"/>
        <v>430600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2822655</v>
      </c>
      <c r="M28" s="879">
        <f t="shared" ca="1" si="16"/>
        <v>2820650</v>
      </c>
      <c r="N28" s="879">
        <f t="shared" si="16"/>
        <v>1029767.9</v>
      </c>
      <c r="O28" s="879">
        <f t="shared" ref="O28:O37" ca="1" si="17">IF(L28&gt;0,N28*100/L28,0)</f>
        <v>36.482244553443479</v>
      </c>
      <c r="P28" s="879">
        <f t="shared" ref="P28:P37" ca="1" si="18">IF(M28&gt;0,N28*100/M28,0)</f>
        <v>36.508177193200147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2822655</v>
      </c>
      <c r="M30" s="886">
        <f t="shared" ca="1" si="19"/>
        <v>2820650</v>
      </c>
      <c r="N30" s="886">
        <f t="shared" si="19"/>
        <v>1029767.9</v>
      </c>
      <c r="O30" s="886">
        <f t="shared" ca="1" si="17"/>
        <v>36.482244553443479</v>
      </c>
      <c r="P30" s="886">
        <f t="shared" ca="1" si="18"/>
        <v>36.508177193200147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2822655</v>
      </c>
      <c r="M31" s="893">
        <f t="shared" ca="1" si="20"/>
        <v>2820650</v>
      </c>
      <c r="N31" s="893">
        <f t="shared" si="20"/>
        <v>1029767.9</v>
      </c>
      <c r="O31" s="893">
        <f t="shared" ca="1" si="17"/>
        <v>36.482244553443479</v>
      </c>
      <c r="P31" s="893">
        <f t="shared" ca="1" si="18"/>
        <v>36.508177193200147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2822655</v>
      </c>
      <c r="M33" s="899">
        <f t="shared" ca="1" si="21"/>
        <v>2820650</v>
      </c>
      <c r="N33" s="899">
        <f t="shared" si="21"/>
        <v>1029767.9</v>
      </c>
      <c r="O33" s="899">
        <f t="shared" ca="1" si="17"/>
        <v>36.482244553443479</v>
      </c>
      <c r="P33" s="899">
        <f t="shared" ca="1" si="18"/>
        <v>36.508177193200147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5826107</v>
      </c>
      <c r="M37" s="912">
        <f t="shared" ca="1" si="24"/>
        <v>4835226</v>
      </c>
      <c r="N37" s="912">
        <f t="shared" ca="1" si="24"/>
        <v>3049844.8600000003</v>
      </c>
      <c r="O37" s="912">
        <f t="shared" ca="1" si="17"/>
        <v>52.34790332549678</v>
      </c>
      <c r="P37" s="912">
        <f t="shared" ca="1" si="18"/>
        <v>63.075538971704745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806992</v>
      </c>
      <c r="M41" s="938">
        <f t="shared" ca="1" si="25"/>
        <v>811651</v>
      </c>
      <c r="N41" s="938">
        <f t="shared" ca="1" si="25"/>
        <v>388756.13</v>
      </c>
      <c r="O41" s="938">
        <f t="shared" ref="O41:O49" ca="1" si="26">IF(L41&gt;0,N41*100/L41,0)</f>
        <v>48.173480034498482</v>
      </c>
      <c r="P41" s="938">
        <f t="shared" ref="P41:P49" ca="1" si="27">IF(M41&gt;0,N41*100/M41,0)</f>
        <v>47.896956943316773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806992</v>
      </c>
      <c r="M43" s="944">
        <f t="shared" ca="1" si="28"/>
        <v>811651</v>
      </c>
      <c r="N43" s="944">
        <f t="shared" ca="1" si="28"/>
        <v>388756.13</v>
      </c>
      <c r="O43" s="944">
        <f t="shared" ca="1" si="26"/>
        <v>48.173480034498482</v>
      </c>
      <c r="P43" s="944">
        <f t="shared" ca="1" si="27"/>
        <v>47.896956943316773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806992</v>
      </c>
      <c r="M44" s="893">
        <f t="shared" ca="1" si="29"/>
        <v>811651</v>
      </c>
      <c r="N44" s="893">
        <f t="shared" ca="1" si="29"/>
        <v>388756.13</v>
      </c>
      <c r="O44" s="893">
        <f t="shared" ca="1" si="26"/>
        <v>48.173480034498482</v>
      </c>
      <c r="P44" s="893">
        <f t="shared" ca="1" si="27"/>
        <v>47.896956943316773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IFERROR(__xludf.DUMMYFUNCTION("IMPORTRANGE(""https://docs.google.com/spreadsheets/d/1MeEWN-I1oV_STSDYn1IFDPWt_1FKiwhDph83XaGc0o0/edit?usp=sharing"",""งบพรบ!M45"")"),806992)</f>
        <v>806992</v>
      </c>
      <c r="M46" s="899">
        <f ca="1">IFERROR(__xludf.DUMMYFUNCTION("IMPORTRANGE(""https://docs.google.com/spreadsheets/d/1MeEWN-I1oV_STSDYn1IFDPWt_1FKiwhDph83XaGc0o0/edit?usp=sharing"",""งบพรบ!R45"")"),811651)</f>
        <v>811651</v>
      </c>
      <c r="N46" s="899">
        <f ca="1">IFERROR(__xludf.DUMMYFUNCTION("IMPORTRANGE(""https://docs.google.com/spreadsheets/d/1MeEWN-I1oV_STSDYn1IFDPWt_1FKiwhDph83XaGc0o0/edit?usp=sharing"",""งบพรบ!T45"")"),388756.13)</f>
        <v>388756.13</v>
      </c>
      <c r="O46" s="899">
        <f t="shared" ca="1" si="26"/>
        <v>48.173480034498482</v>
      </c>
      <c r="P46" s="899">
        <f t="shared" ca="1" si="27"/>
        <v>47.896956943316773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IFERROR(__xludf.DUMMYFUNCTION("IMPORTRANGE(""https://docs.google.com/spreadsheets/d/1MeEWN-I1oV_STSDYn1IFDPWt_1FKiwhDph83XaGc0o0/edit?usp=sharing"",""งบพรบ!P45"")"),0)</f>
        <v>0</v>
      </c>
      <c r="M49" s="905">
        <f ca="1">IFERROR(__xludf.DUMMYFUNCTION("IMPORTRANGE(""https://docs.google.com/spreadsheets/d/1MeEWN-I1oV_STSDYn1IFDPWt_1FKiwhDph83XaGc0o0/edit?usp=sharing"",""งบพรบ!S45"")"),0)</f>
        <v>0</v>
      </c>
      <c r="N49" s="905">
        <f ca="1">IFERROR(__xludf.DUMMYFUNCTION("IMPORTRANGE(""https://docs.google.com/spreadsheets/d/1MeEWN-I1oV_STSDYn1IFDPWt_1FKiwhDph83XaGc0o0/edit?usp=sharing"",""งบพรบ!U45"")"),0)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790400</v>
      </c>
      <c r="M53" s="968">
        <f t="shared" ca="1" si="31"/>
        <v>592800</v>
      </c>
      <c r="N53" s="968">
        <f t="shared" ca="1" si="31"/>
        <v>439464.96000000002</v>
      </c>
      <c r="O53" s="968">
        <f t="shared" ref="O53:O61" ca="1" si="32">IF(L53&gt;0,N53*100/L53,0)</f>
        <v>55.600323886639679</v>
      </c>
      <c r="P53" s="968">
        <f t="shared" ref="P53:P61" ca="1" si="33">IF(M53&gt;0,N53*100/M53,0)</f>
        <v>74.133765182186238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790400</v>
      </c>
      <c r="M55" s="974">
        <f t="shared" ca="1" si="34"/>
        <v>592800</v>
      </c>
      <c r="N55" s="974">
        <f t="shared" ca="1" si="34"/>
        <v>439464.96000000002</v>
      </c>
      <c r="O55" s="974">
        <f t="shared" ca="1" si="32"/>
        <v>55.600323886639679</v>
      </c>
      <c r="P55" s="974">
        <f t="shared" ca="1" si="33"/>
        <v>74.133765182186238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790400</v>
      </c>
      <c r="M56" s="893">
        <f t="shared" ca="1" si="35"/>
        <v>592800</v>
      </c>
      <c r="N56" s="893">
        <f t="shared" ca="1" si="35"/>
        <v>439464.96000000002</v>
      </c>
      <c r="O56" s="893">
        <f t="shared" ca="1" si="32"/>
        <v>55.600323886639679</v>
      </c>
      <c r="P56" s="893">
        <f t="shared" ca="1" si="33"/>
        <v>74.133765182186238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IFERROR(__xludf.DUMMYFUNCTION("IMPORTRANGE(""https://docs.google.com/spreadsheets/d/1MeEWN-I1oV_STSDYn1IFDPWt_1FKiwhDph83XaGc0o0/edit?usp=sharing"",""งบพรบ!W45"")"),790400)</f>
        <v>790400</v>
      </c>
      <c r="M58" s="899">
        <f ca="1">IFERROR(__xludf.DUMMYFUNCTION("IMPORTRANGE(""https://docs.google.com/spreadsheets/d/1MeEWN-I1oV_STSDYn1IFDPWt_1FKiwhDph83XaGc0o0/edit?usp=sharing"",""งบพรบ!AB45"")"),592800)</f>
        <v>592800</v>
      </c>
      <c r="N58" s="899">
        <f ca="1">IFERROR(__xludf.DUMMYFUNCTION("IMPORTRANGE(""https://docs.google.com/spreadsheets/d/1MeEWN-I1oV_STSDYn1IFDPWt_1FKiwhDph83XaGc0o0/edit?usp=sharing"",""งบพรบ!AD45"")"),439464.96)</f>
        <v>439464.96000000002</v>
      </c>
      <c r="O58" s="899">
        <f t="shared" ca="1" si="32"/>
        <v>55.600323886639679</v>
      </c>
      <c r="P58" s="899">
        <f t="shared" ca="1" si="33"/>
        <v>74.133765182186238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IFERROR(__xludf.DUMMYFUNCTION("IMPORTRANGE(""https://docs.google.com/spreadsheets/d/1MeEWN-I1oV_STSDYn1IFDPWt_1FKiwhDph83XaGc0o0/edit?usp=sharing"",""งบพรบ!Z45"")"),0)</f>
        <v>0</v>
      </c>
      <c r="M61" s="905">
        <f ca="1">IFERROR(__xludf.DUMMYFUNCTION("IMPORTRANGE(""https://docs.google.com/spreadsheets/d/1MeEWN-I1oV_STSDYn1IFDPWt_1FKiwhDph83XaGc0o0/edit?usp=sharing"",""งบพรบ!AC45"")"),0)</f>
        <v>0</v>
      </c>
      <c r="N61" s="905">
        <f ca="1">IFERROR(__xludf.DUMMYFUNCTION("IMPORTRANGE(""https://docs.google.com/spreadsheets/d/1MeEWN-I1oV_STSDYn1IFDPWt_1FKiwhDph83XaGc0o0/edit?usp=sharing"",""งบพรบ!AE45"")"),0)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30</v>
      </c>
      <c r="J65" s="994">
        <f t="shared" si="37"/>
        <v>30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1012000</v>
      </c>
      <c r="M66" s="1004">
        <f t="shared" ca="1" si="39"/>
        <v>769570</v>
      </c>
      <c r="N66" s="1004">
        <f t="shared" ca="1" si="39"/>
        <v>489147.26</v>
      </c>
      <c r="O66" s="1004">
        <f t="shared" ref="O66:O74" ca="1" si="40">IF(L66&gt;0,N66*100/L66,0)</f>
        <v>48.334709486166005</v>
      </c>
      <c r="P66" s="1004">
        <f t="shared" ref="P66:P74" ca="1" si="41">IF(M66&gt;0,N66*100/M66,0)</f>
        <v>63.561113349013084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1012000</v>
      </c>
      <c r="M68" s="899">
        <f t="shared" ca="1" si="42"/>
        <v>769570</v>
      </c>
      <c r="N68" s="899">
        <f t="shared" ca="1" si="42"/>
        <v>489147.26</v>
      </c>
      <c r="O68" s="899">
        <f t="shared" ca="1" si="40"/>
        <v>48.334709486166005</v>
      </c>
      <c r="P68" s="899">
        <f t="shared" ca="1" si="41"/>
        <v>63.561113349013084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1012000</v>
      </c>
      <c r="M69" s="893">
        <f t="shared" ca="1" si="43"/>
        <v>769570</v>
      </c>
      <c r="N69" s="893">
        <f t="shared" ca="1" si="43"/>
        <v>489147.26</v>
      </c>
      <c r="O69" s="893">
        <f t="shared" ca="1" si="40"/>
        <v>48.334709486166005</v>
      </c>
      <c r="P69" s="893">
        <f t="shared" ca="1" si="41"/>
        <v>63.561113349013084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IFERROR(__xludf.DUMMYFUNCTION("IMPORTRANGE(""https://docs.google.com/spreadsheets/d/1MeEWN-I1oV_STSDYn1IFDPWt_1FKiwhDph83XaGc0o0/edit?usp=sharing"",""งบพรบ!AG45"")"),1012000)</f>
        <v>1012000</v>
      </c>
      <c r="M71" s="899">
        <f ca="1">IFERROR(__xludf.DUMMYFUNCTION("IMPORTRANGE(""https://docs.google.com/spreadsheets/d/1MeEWN-I1oV_STSDYn1IFDPWt_1FKiwhDph83XaGc0o0/edit?usp=sharing"",""งบพรบ!AL45"")"),769570)</f>
        <v>769570</v>
      </c>
      <c r="N71" s="899">
        <f ca="1">IFERROR(__xludf.DUMMYFUNCTION("IMPORTRANGE(""https://docs.google.com/spreadsheets/d/1MeEWN-I1oV_STSDYn1IFDPWt_1FKiwhDph83XaGc0o0/edit?usp=sharing"",""งบพรบ!AN45"")"),489147.26)</f>
        <v>489147.26</v>
      </c>
      <c r="O71" s="899">
        <f t="shared" ca="1" si="40"/>
        <v>48.334709486166005</v>
      </c>
      <c r="P71" s="899">
        <f t="shared" ca="1" si="41"/>
        <v>63.561113349013084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IFERROR(__xludf.DUMMYFUNCTION("IMPORTRANGE(""https://docs.google.com/spreadsheets/d/1MeEWN-I1oV_STSDYn1IFDPWt_1FKiwhDph83XaGc0o0/edit?usp=sharing"",""งบพรบ!AJ45"")"),0)</f>
        <v>0</v>
      </c>
      <c r="M74" s="899">
        <f ca="1">IFERROR(__xludf.DUMMYFUNCTION("IMPORTRANGE(""https://docs.google.com/spreadsheets/d/1MeEWN-I1oV_STSDYn1IFDPWt_1FKiwhDph83XaGc0o0/edit?usp=sharing"",""งบพรบ!AM45"")"),0)</f>
        <v>0</v>
      </c>
      <c r="N74" s="899">
        <f ca="1">IFERROR(__xludf.DUMMYFUNCTION("IMPORTRANGE(""https://docs.google.com/spreadsheets/d/1MeEWN-I1oV_STSDYn1IFDPWt_1FKiwhDph83XaGc0o0/edit?usp=sharing"",""งบพรบ!AO45"")"),0)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30</v>
      </c>
      <c r="J77" s="892">
        <f t="shared" si="45"/>
        <v>30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IFERROR(__xludf.DUMMYFUNCTION("IMPORTRANGE(""https://docs.google.com/spreadsheets/d/1QqKyyYR6Q21VydFLVH3TRQUabQu_ym0Zz7PgGX0-kHA/edit?usp=sharing"",""แผน!H45"")"),0)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IFERROR(__xludf.DUMMYFUNCTION("IMPORTRANGE(""https://docs.google.com/spreadsheets/d/1QqKyyYR6Q21VydFLVH3TRQUabQu_ym0Zz7PgGX0-kHA/edit?usp=sharing"",""แผน!I45"")"),0)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IFERROR(__xludf.DUMMYFUNCTION("IMPORTRANGE(""https://docs.google.com/spreadsheets/d/1QqKyyYR6Q21VydFLVH3TRQUabQu_ym0Zz7PgGX0-kHA/edit?usp=sharing"",""แผน!F45"")"),0)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IFERROR(__xludf.DUMMYFUNCTION("IMPORTRANGE(""https://docs.google.com/spreadsheets/d/1QqKyyYR6Q21VydFLVH3TRQUabQu_ym0Zz7PgGX0-kHA/edit?usp=sharing"",""แผน!G45"")"),0)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IFERROR(__xludf.DUMMYFUNCTION("IMPORTRANGE(""https://docs.google.com/spreadsheets/d/1QqKyyYR6Q21VydFLVH3TRQUabQu_ym0Zz7PgGX0-kHA/edit?usp=sharing"",""แผน!D45"")"),1)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IFERROR(__xludf.DUMMYFUNCTION("IMPORTRANGE(""https://docs.google.com/spreadsheets/d/1QqKyyYR6Q21VydFLVH3TRQUabQu_ym0Zz7PgGX0-kHA/edit?usp=sharing"",""แผน!E45"")"),30)</f>
        <v>30</v>
      </c>
      <c r="J83" s="1024">
        <v>30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IFERROR(__xludf.DUMMYFUNCTION("IMPORTRANGE(""https://docs.google.com/spreadsheets/d/1QqKyyYR6Q21VydFLVH3TRQUabQu_ym0Zz7PgGX0-kHA/edit?usp=sharing"",""แผน!J45"")"),1)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60</v>
      </c>
      <c r="J86" s="994">
        <f t="shared" si="47"/>
        <v>60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20</v>
      </c>
      <c r="J87" s="994">
        <f t="shared" si="47"/>
        <v>20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111180</v>
      </c>
      <c r="M88" s="1004">
        <f t="shared" ca="1" si="49"/>
        <v>101480</v>
      </c>
      <c r="N88" s="1004">
        <f t="shared" ca="1" si="49"/>
        <v>69800</v>
      </c>
      <c r="O88" s="1004">
        <f t="shared" ref="O88:O96" ca="1" si="50">IF(L88&gt;0,N88*100/L88,0)</f>
        <v>62.781075733045512</v>
      </c>
      <c r="P88" s="1004">
        <f t="shared" ref="P88:P96" ca="1" si="51">IF(M88&gt;0,N88*100/M88,0)</f>
        <v>68.782026014978314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111180</v>
      </c>
      <c r="M90" s="899">
        <f t="shared" ca="1" si="52"/>
        <v>101480</v>
      </c>
      <c r="N90" s="899">
        <f t="shared" ca="1" si="52"/>
        <v>69800</v>
      </c>
      <c r="O90" s="899">
        <f t="shared" ca="1" si="50"/>
        <v>62.781075733045512</v>
      </c>
      <c r="P90" s="899">
        <f t="shared" ca="1" si="51"/>
        <v>68.782026014978314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111180</v>
      </c>
      <c r="M91" s="893">
        <f t="shared" ca="1" si="53"/>
        <v>101480</v>
      </c>
      <c r="N91" s="893">
        <f t="shared" ca="1" si="53"/>
        <v>69800</v>
      </c>
      <c r="O91" s="893">
        <f t="shared" ca="1" si="50"/>
        <v>62.781075733045512</v>
      </c>
      <c r="P91" s="893">
        <f t="shared" ca="1" si="51"/>
        <v>68.782026014978314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IFERROR(__xludf.DUMMYFUNCTION("IMPORTRANGE(""https://docs.google.com/spreadsheets/d/1MeEWN-I1oV_STSDYn1IFDPWt_1FKiwhDph83XaGc0o0/edit?usp=sharing"",""งบพรบ!AQ45"")"),111180)</f>
        <v>111180</v>
      </c>
      <c r="M93" s="899">
        <f ca="1">IFERROR(__xludf.DUMMYFUNCTION("IMPORTRANGE(""https://docs.google.com/spreadsheets/d/1MeEWN-I1oV_STSDYn1IFDPWt_1FKiwhDph83XaGc0o0/edit?usp=sharing"",""งบพรบ!AV45"")"),101480)</f>
        <v>101480</v>
      </c>
      <c r="N93" s="899">
        <f ca="1">IFERROR(__xludf.DUMMYFUNCTION("IMPORTRANGE(""https://docs.google.com/spreadsheets/d/1MeEWN-I1oV_STSDYn1IFDPWt_1FKiwhDph83XaGc0o0/edit?usp=sharing"",""งบพรบ!AX45"")"),69800)</f>
        <v>69800</v>
      </c>
      <c r="O93" s="899">
        <f t="shared" ca="1" si="50"/>
        <v>62.781075733045512</v>
      </c>
      <c r="P93" s="899">
        <f t="shared" ca="1" si="51"/>
        <v>68.782026014978314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IFERROR(__xludf.DUMMYFUNCTION("IMPORTRANGE(""https://docs.google.com/spreadsheets/d/1MeEWN-I1oV_STSDYn1IFDPWt_1FKiwhDph83XaGc0o0/edit?usp=sharing"",""งบพรบ!AT45"")"),0)</f>
        <v>0</v>
      </c>
      <c r="M96" s="899">
        <f ca="1">IFERROR(__xludf.DUMMYFUNCTION("IMPORTRANGE(""https://docs.google.com/spreadsheets/d/1MeEWN-I1oV_STSDYn1IFDPWt_1FKiwhDph83XaGc0o0/edit?usp=sharing"",""งบพรบ!AW45"")"),0)</f>
        <v>0</v>
      </c>
      <c r="N96" s="899">
        <f ca="1">IFERROR(__xludf.DUMMYFUNCTION("IMPORTRANGE(""https://docs.google.com/spreadsheets/d/1MeEWN-I1oV_STSDYn1IFDPWt_1FKiwhDph83XaGc0o0/edit?usp=sharing"",""งบพรบ!AY45"")"),0)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IFERROR(__xludf.DUMMYFUNCTION("IMPORTRANGE(""https://docs.google.com/spreadsheets/d/1QqKyyYR6Q21VydFLVH3TRQUabQu_ym0Zz7PgGX0-kHA/edit?usp=sharing"",""แผน!K45"")"),60)</f>
        <v>60</v>
      </c>
      <c r="J98" s="892">
        <f>J102</f>
        <v>60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IFERROR(__xludf.DUMMYFUNCTION("IMPORTRANGE(""https://docs.google.com/spreadsheets/d/1QqKyyYR6Q21VydFLVH3TRQUabQu_ym0Zz7PgGX0-kHA/edit?usp=sharing"",""แผน!L45"")"),20)</f>
        <v>20</v>
      </c>
      <c r="J99" s="892">
        <f>J104</f>
        <v>20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IFERROR(__xludf.DUMMYFUNCTION("IMPORTRANGE(""https://docs.google.com/spreadsheets/d/1QqKyyYR6Q21VydFLVH3TRQUabQu_ym0Zz7PgGX0-kHA/edit?usp=sharing"",""แผน!M45"")"),2)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IFERROR(__xludf.DUMMYFUNCTION("IMPORTRANGE(""https://docs.google.com/spreadsheets/d/1QqKyyYR6Q21VydFLVH3TRQUabQu_ym0Zz7PgGX0-kHA/edit?usp=sharing"",""แผน!N45"")"),60)</f>
        <v>60</v>
      </c>
      <c r="J102" s="1024">
        <v>60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IFERROR(__xludf.DUMMYFUNCTION("IMPORTRANGE(""https://docs.google.com/spreadsheets/d/1QqKyyYR6Q21VydFLVH3TRQUabQu_ym0Zz7PgGX0-kHA/edit?usp=sharing"",""แผน!O45"")"),20)</f>
        <v>20</v>
      </c>
      <c r="J103" s="1024">
        <v>20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IFERROR(__xludf.DUMMYFUNCTION("IMPORTRANGE(""https://docs.google.com/spreadsheets/d/1QqKyyYR6Q21VydFLVH3TRQUabQu_ym0Zz7PgGX0-kHA/edit?usp=sharing"",""แผน!O45"")"),20)</f>
        <v>20</v>
      </c>
      <c r="J104" s="1024">
        <v>20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IFERROR(__xludf.DUMMYFUNCTION("IMPORTRANGE(""https://docs.google.com/spreadsheets/d/1QqKyyYR6Q21VydFLVH3TRQUabQu_ym0Zz7PgGX0-kHA/edit?usp=sharing"",""แผน!P45"")"),1)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IFERROR(__xludf.DUMMYFUNCTION("IMPORTRANGE(""https://docs.google.com/spreadsheets/d/1QqKyyYR6Q21VydFLVH3TRQUabQu_ym0Zz7PgGX0-kHA/edit?usp=sharing"",""แผน!P45"")"),1)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IFERROR(__xludf.DUMMYFUNCTION("IMPORTRANGE(""https://docs.google.com/spreadsheets/d/1QqKyyYR6Q21VydFLVH3TRQUabQu_ym0Zz7PgGX0-kHA/edit?usp=sharing"",""แผน!Q45"")"),1)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IFERROR(__xludf.DUMMYFUNCTION("IMPORTRANGE(""https://docs.google.com/spreadsheets/d/1QqKyyYR6Q21VydFLVH3TRQUabQu_ym0Zz7PgGX0-kHA/edit?usp=sharing"",""แผน!Q45"")"),1)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IFERROR(__xludf.DUMMYFUNCTION("IMPORTRANGE(""https://docs.google.com/spreadsheets/d/1QqKyyYR6Q21VydFLVH3TRQUabQu_ym0Zz7PgGX0-kHA/edit?usp=sharing"",""แผน!R45"")"),20)</f>
        <v>20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IFERROR(__xludf.DUMMYFUNCTION("IMPORTRANGE(""https://docs.google.com/spreadsheets/d/1QqKyyYR6Q21VydFLVH3TRQUabQu_ym0Zz7PgGX0-kHA/edit?usp=sharing"",""แผน!R45"")"),20)</f>
        <v>20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IFERROR(__xludf.DUMMYFUNCTION("IMPORTRANGE(""https://docs.google.com/spreadsheets/d/1QqKyyYR6Q21VydFLVH3TRQUabQu_ym0Zz7PgGX0-kHA/edit?usp=sharing"",""แผน!R45"")"),20)</f>
        <v>20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IFERROR(__xludf.DUMMYFUNCTION("IMPORTRANGE(""https://docs.google.com/spreadsheets/d/1QqKyyYR6Q21VydFLVH3TRQUabQu_ym0Zz7PgGX0-kHA/edit?usp=sharing"",""แผน!S45"")"),1)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IFERROR(__xludf.DUMMYFUNCTION("IMPORTRANGE(""https://docs.google.com/spreadsheets/d/1QqKyyYR6Q21VydFLVH3TRQUabQu_ym0Zz7PgGX0-kHA/edit?usp=sharing"",""แผน!T45"")"),1)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IFERROR(__xludf.DUMMYFUNCTION("IMPORTRANGE(""https://docs.google.com/spreadsheets/d/1MeEWN-I1oV_STSDYn1IFDPWt_1FKiwhDph83XaGc0o0/edit?usp=sharing"",""งบพรบ!BA45"")"),0)</f>
        <v>0</v>
      </c>
      <c r="M124" s="899">
        <f ca="1">IFERROR(__xludf.DUMMYFUNCTION("IMPORTRANGE(""https://docs.google.com/spreadsheets/d/1MeEWN-I1oV_STSDYn1IFDPWt_1FKiwhDph83XaGc0o0/edit?usp=sharing"",""งบพรบ!BF45"")"),0)</f>
        <v>0</v>
      </c>
      <c r="N124" s="899">
        <f ca="1">IFERROR(__xludf.DUMMYFUNCTION("IMPORTRANGE(""https://docs.google.com/spreadsheets/d/1MeEWN-I1oV_STSDYn1IFDPWt_1FKiwhDph83XaGc0o0/edit?usp=sharing"",""งบพรบ!BH45"")"),0)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IFERROR(__xludf.DUMMYFUNCTION("IMPORTRANGE(""https://docs.google.com/spreadsheets/d/1MeEWN-I1oV_STSDYn1IFDPWt_1FKiwhDph83XaGc0o0/edit?usp=sharing"",""งบพรบ!BD45"")"),0)</f>
        <v>0</v>
      </c>
      <c r="M127" s="899">
        <f ca="1">IFERROR(__xludf.DUMMYFUNCTION("IMPORTRANGE(""https://docs.google.com/spreadsheets/d/1MeEWN-I1oV_STSDYn1IFDPWt_1FKiwhDph83XaGc0o0/edit?usp=sharing"",""งบพรบ!BG45"")"),0)</f>
        <v>0</v>
      </c>
      <c r="N127" s="899">
        <f ca="1">IFERROR(__xludf.DUMMYFUNCTION("IMPORTRANGE(""https://docs.google.com/spreadsheets/d/1MeEWN-I1oV_STSDYn1IFDPWt_1FKiwhDph83XaGc0o0/edit?usp=sharing"",""งบพรบ!BI45"")"),0)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3</v>
      </c>
      <c r="J130" s="994">
        <f t="shared" si="66"/>
        <v>3</v>
      </c>
      <c r="K130" s="995">
        <f t="shared" ref="K130:K131" ca="1" si="67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30</v>
      </c>
      <c r="J131" s="994">
        <f t="shared" ca="1" si="68"/>
        <v>30</v>
      </c>
      <c r="K131" s="995">
        <f t="shared" ca="1" si="67"/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454965</v>
      </c>
      <c r="M132" s="1004">
        <f t="shared" ca="1" si="69"/>
        <v>440600</v>
      </c>
      <c r="N132" s="1004">
        <f t="shared" ca="1" si="69"/>
        <v>368850</v>
      </c>
      <c r="O132" s="1004">
        <f t="shared" ref="O132:O140" ca="1" si="70">IF(L132&gt;0,N132*100/L132,0)</f>
        <v>81.072170386733049</v>
      </c>
      <c r="P132" s="1004">
        <f t="shared" ref="P132:P140" ca="1" si="71">IF(M132&gt;0,N132*100/M132,0)</f>
        <v>83.715388107126643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454965</v>
      </c>
      <c r="M134" s="899">
        <f t="shared" ca="1" si="72"/>
        <v>440600</v>
      </c>
      <c r="N134" s="899">
        <f t="shared" ca="1" si="72"/>
        <v>368850</v>
      </c>
      <c r="O134" s="899">
        <f t="shared" ca="1" si="70"/>
        <v>81.072170386733049</v>
      </c>
      <c r="P134" s="899">
        <f t="shared" ca="1" si="71"/>
        <v>83.715388107126643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145965</v>
      </c>
      <c r="M135" s="893">
        <f t="shared" ca="1" si="73"/>
        <v>131600</v>
      </c>
      <c r="N135" s="893">
        <f t="shared" ca="1" si="73"/>
        <v>59850</v>
      </c>
      <c r="O135" s="893">
        <f t="shared" ca="1" si="70"/>
        <v>41.002980166478267</v>
      </c>
      <c r="P135" s="893">
        <f t="shared" ca="1" si="71"/>
        <v>45.478723404255319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IFERROR(__xludf.DUMMYFUNCTION("IMPORTRANGE(""https://docs.google.com/spreadsheets/d/1MeEWN-I1oV_STSDYn1IFDPWt_1FKiwhDph83XaGc0o0/edit?usp=sharing"",""งบพรบ!BK45"")"),145965)</f>
        <v>145965</v>
      </c>
      <c r="M137" s="899">
        <f ca="1">IFERROR(__xludf.DUMMYFUNCTION("IMPORTRANGE(""https://docs.google.com/spreadsheets/d/1MeEWN-I1oV_STSDYn1IFDPWt_1FKiwhDph83XaGc0o0/edit?usp=sharing"",""งบพรบ!BP45"")"),131600)</f>
        <v>131600</v>
      </c>
      <c r="N137" s="899">
        <f ca="1">IFERROR(__xludf.DUMMYFUNCTION("IMPORTRANGE(""https://docs.google.com/spreadsheets/d/1MeEWN-I1oV_STSDYn1IFDPWt_1FKiwhDph83XaGc0o0/edit?usp=sharing"",""งบพรบ!BR45"")"),59850)</f>
        <v>59850</v>
      </c>
      <c r="O137" s="899">
        <f t="shared" ca="1" si="70"/>
        <v>41.002980166478267</v>
      </c>
      <c r="P137" s="899">
        <f t="shared" ca="1" si="71"/>
        <v>45.478723404255319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309000</v>
      </c>
      <c r="M138" s="893">
        <f t="shared" ca="1" si="74"/>
        <v>309000</v>
      </c>
      <c r="N138" s="893">
        <f t="shared" ca="1" si="74"/>
        <v>309000</v>
      </c>
      <c r="O138" s="893">
        <f t="shared" ca="1" si="70"/>
        <v>100</v>
      </c>
      <c r="P138" s="893">
        <f t="shared" ca="1" si="71"/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IFERROR(__xludf.DUMMYFUNCTION("IMPORTRANGE(""https://docs.google.com/spreadsheets/d/1MeEWN-I1oV_STSDYn1IFDPWt_1FKiwhDph83XaGc0o0/edit?usp=sharing"",""งบพรบ!BN45"")"),309000)</f>
        <v>309000</v>
      </c>
      <c r="M140" s="899">
        <f ca="1">IFERROR(__xludf.DUMMYFUNCTION("IMPORTRANGE(""https://docs.google.com/spreadsheets/d/1MeEWN-I1oV_STSDYn1IFDPWt_1FKiwhDph83XaGc0o0/edit?usp=sharing"",""งบพรบ!BQ45"")"),309000)</f>
        <v>309000</v>
      </c>
      <c r="N140" s="899">
        <f ca="1">IFERROR(__xludf.DUMMYFUNCTION("IMPORTRANGE(""https://docs.google.com/spreadsheets/d/1MeEWN-I1oV_STSDYn1IFDPWt_1FKiwhDph83XaGc0o0/edit?usp=sharing"",""งบพรบ!BS45"")"),309000)</f>
        <v>309000</v>
      </c>
      <c r="O140" s="899">
        <f t="shared" ca="1" si="70"/>
        <v>100</v>
      </c>
      <c r="P140" s="899">
        <f t="shared" ca="1" si="71"/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30</v>
      </c>
      <c r="J143" s="892">
        <f ca="1">IF(AND(J144&gt;=I144,J145&gt;=I145),J145,0)</f>
        <v>30</v>
      </c>
      <c r="K143" s="893">
        <f t="shared" ref="K143:K146" ca="1" si="75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IFERROR(__xludf.DUMMYFUNCTION("IMPORTRANGE(""https://docs.google.com/spreadsheets/d/1QqKyyYR6Q21VydFLVH3TRQUabQu_ym0Zz7PgGX0-kHA/edit?usp=sharing"",""แผน!U45"")"),15)</f>
        <v>15</v>
      </c>
      <c r="J144" s="1024">
        <v>15</v>
      </c>
      <c r="K144" s="893">
        <f t="shared" ca="1" si="75"/>
        <v>100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IFERROR(__xludf.DUMMYFUNCTION("IMPORTRANGE(""https://docs.google.com/spreadsheets/d/1QqKyyYR6Q21VydFLVH3TRQUabQu_ym0Zz7PgGX0-kHA/edit?usp=sharing"",""แผน!V45"")"),30)</f>
        <v>30</v>
      </c>
      <c r="J145" s="1024">
        <v>30</v>
      </c>
      <c r="K145" s="893">
        <f t="shared" ca="1" si="75"/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IFERROR(__xludf.DUMMYFUNCTION("IMPORTRANGE(""https://docs.google.com/spreadsheets/d/1QqKyyYR6Q21VydFLVH3TRQUabQu_ym0Zz7PgGX0-kHA/edit?usp=sharing"",""แผน!W45"")"),3)</f>
        <v>3</v>
      </c>
      <c r="J146" s="1024">
        <v>3</v>
      </c>
      <c r="K146" s="893">
        <f t="shared" ca="1" si="75"/>
        <v>100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20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31400</v>
      </c>
      <c r="N149" s="1004">
        <f t="shared" ca="1" si="77"/>
        <v>22800</v>
      </c>
      <c r="O149" s="1004">
        <f t="shared" ref="O149:O157" ca="1" si="78">IF(L149&gt;0,N149*100/L149,0)</f>
        <v>228</v>
      </c>
      <c r="P149" s="1004">
        <f t="shared" ref="P149:P157" ca="1" si="79">IF(M149&gt;0,N149*100/M149,0)</f>
        <v>72.611464968152873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31400</v>
      </c>
      <c r="N151" s="899">
        <f t="shared" ca="1" si="80"/>
        <v>22800</v>
      </c>
      <c r="O151" s="899">
        <f t="shared" ca="1" si="78"/>
        <v>228</v>
      </c>
      <c r="P151" s="899">
        <f t="shared" ca="1" si="79"/>
        <v>72.611464968152873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31400</v>
      </c>
      <c r="N152" s="893">
        <f t="shared" ca="1" si="81"/>
        <v>22800</v>
      </c>
      <c r="O152" s="893">
        <f t="shared" ca="1" si="78"/>
        <v>228</v>
      </c>
      <c r="P152" s="893">
        <f t="shared" ca="1" si="79"/>
        <v>72.611464968152873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IFERROR(__xludf.DUMMYFUNCTION("IMPORTRANGE(""https://docs.google.com/spreadsheets/d/1MeEWN-I1oV_STSDYn1IFDPWt_1FKiwhDph83XaGc0o0/edit?usp=sharing"",""งบพรบ!BU45"")"),10000)</f>
        <v>10000</v>
      </c>
      <c r="M154" s="899">
        <f ca="1">IFERROR(__xludf.DUMMYFUNCTION("IMPORTRANGE(""https://docs.google.com/spreadsheets/d/1MeEWN-I1oV_STSDYn1IFDPWt_1FKiwhDph83XaGc0o0/edit?usp=sharing"",""งบพรบ!BZ45"")"),31400)</f>
        <v>31400</v>
      </c>
      <c r="N154" s="899">
        <f ca="1">IFERROR(__xludf.DUMMYFUNCTION("IMPORTRANGE(""https://docs.google.com/spreadsheets/d/1MeEWN-I1oV_STSDYn1IFDPWt_1FKiwhDph83XaGc0o0/edit?usp=sharing"",""งบพรบ!CB45"")"),22800)</f>
        <v>22800</v>
      </c>
      <c r="O154" s="899">
        <f t="shared" ca="1" si="78"/>
        <v>228</v>
      </c>
      <c r="P154" s="899">
        <f t="shared" ca="1" si="79"/>
        <v>72.611464968152873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IFERROR(__xludf.DUMMYFUNCTION("IMPORTRANGE(""https://docs.google.com/spreadsheets/d/1MeEWN-I1oV_STSDYn1IFDPWt_1FKiwhDph83XaGc0o0/edit?usp=sharing"",""งบพรบ!BX45"")"),0)</f>
        <v>0</v>
      </c>
      <c r="M157" s="899">
        <f ca="1">IFERROR(__xludf.DUMMYFUNCTION("IMPORTRANGE(""https://docs.google.com/spreadsheets/d/1MeEWN-I1oV_STSDYn1IFDPWt_1FKiwhDph83XaGc0o0/edit?usp=sharing"",""งบพรบ!CA45"")"),0)</f>
        <v>0</v>
      </c>
      <c r="N157" s="899">
        <f ca="1">IFERROR(__xludf.DUMMYFUNCTION("IMPORTRANGE(""https://docs.google.com/spreadsheets/d/1MeEWN-I1oV_STSDYn1IFDPWt_1FKiwhDph83XaGc0o0/edit?usp=sharing"",""งบพรบ!CC45"")"),0)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IFERROR(__xludf.DUMMYFUNCTION("IMPORTRANGE(""https://docs.google.com/spreadsheets/d/1QqKyyYR6Q21VydFLVH3TRQUabQu_ym0Zz7PgGX0-kHA/edit?usp=sharing"",""แผน!X45"")"),20)</f>
        <v>20</v>
      </c>
      <c r="J159" s="1024">
        <v>20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23060</v>
      </c>
      <c r="N165" s="1004">
        <f t="shared" ca="1" si="84"/>
        <v>23060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23060</v>
      </c>
      <c r="N167" s="899">
        <f t="shared" ca="1" si="87"/>
        <v>23060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23060</v>
      </c>
      <c r="N168" s="893">
        <f t="shared" ca="1" si="88"/>
        <v>23060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IFERROR(__xludf.DUMMYFUNCTION("IMPORTRANGE(""https://docs.google.com/spreadsheets/d/1MeEWN-I1oV_STSDYn1IFDPWt_1FKiwhDph83XaGc0o0/edit?usp=sharing"",""งบพรบ!CE45"")"),23060)</f>
        <v>23060</v>
      </c>
      <c r="M170" s="899">
        <f ca="1">IFERROR(__xludf.DUMMYFUNCTION("IMPORTRANGE(""https://docs.google.com/spreadsheets/d/1MeEWN-I1oV_STSDYn1IFDPWt_1FKiwhDph83XaGc0o0/edit?usp=sharing"",""งบพรบ!CJ45"")"),23060)</f>
        <v>23060</v>
      </c>
      <c r="N170" s="899">
        <f ca="1">IFERROR(__xludf.DUMMYFUNCTION("IMPORTRANGE(""https://docs.google.com/spreadsheets/d/1MeEWN-I1oV_STSDYn1IFDPWt_1FKiwhDph83XaGc0o0/edit?usp=sharing"",""งบพรบ!CL45"")"),23060)</f>
        <v>23060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IFERROR(__xludf.DUMMYFUNCTION("IMPORTRANGE(""https://docs.google.com/spreadsheets/d/1MeEWN-I1oV_STSDYn1IFDPWt_1FKiwhDph83XaGc0o0/edit?usp=sharing"",""งบพรบ!CH45"")"),0)</f>
        <v>0</v>
      </c>
      <c r="M173" s="899">
        <f ca="1">IFERROR(__xludf.DUMMYFUNCTION("IMPORTRANGE(""https://docs.google.com/spreadsheets/d/1MeEWN-I1oV_STSDYn1IFDPWt_1FKiwhDph83XaGc0o0/edit?usp=sharing"",""งบพรบ!CK45"")"),0)</f>
        <v>0</v>
      </c>
      <c r="N173" s="899">
        <f ca="1">IFERROR(__xludf.DUMMYFUNCTION("IMPORTRANGE(""https://docs.google.com/spreadsheets/d/1MeEWN-I1oV_STSDYn1IFDPWt_1FKiwhDph83XaGc0o0/edit?usp=sharing"",""งบพรบ!CM45"")"),0)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IFERROR(__xludf.DUMMYFUNCTION("IMPORTRANGE(""https://docs.google.com/spreadsheets/d/1QqKyyYR6Q21VydFLVH3TRQUabQu_ym0Zz7PgGX0-kHA/edit?usp=sharing"",""แผน!Y45"")"),12)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40</v>
      </c>
      <c r="J180" s="1073">
        <f t="shared" si="91"/>
        <v>40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571200</v>
      </c>
      <c r="M181" s="1004">
        <f t="shared" ca="1" si="92"/>
        <v>469725</v>
      </c>
      <c r="N181" s="1004">
        <f t="shared" ca="1" si="92"/>
        <v>246748.51</v>
      </c>
      <c r="O181" s="1004">
        <f t="shared" ref="O181:O189" ca="1" si="93">IF(L181&gt;0,N181*100/L181,0)</f>
        <v>43.198268557422971</v>
      </c>
      <c r="P181" s="1004">
        <f t="shared" ref="P181:P189" ca="1" si="94">IF(M181&gt;0,N181*100/M181,0)</f>
        <v>52.530418862100163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571200</v>
      </c>
      <c r="M183" s="899">
        <f t="shared" ca="1" si="95"/>
        <v>469725</v>
      </c>
      <c r="N183" s="899">
        <f t="shared" ca="1" si="95"/>
        <v>246748.51</v>
      </c>
      <c r="O183" s="899">
        <f t="shared" ca="1" si="93"/>
        <v>43.198268557422971</v>
      </c>
      <c r="P183" s="899">
        <f t="shared" ca="1" si="94"/>
        <v>52.530418862100163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571200</v>
      </c>
      <c r="M184" s="893">
        <f t="shared" ca="1" si="96"/>
        <v>469725</v>
      </c>
      <c r="N184" s="893">
        <f t="shared" ca="1" si="96"/>
        <v>246748.51</v>
      </c>
      <c r="O184" s="893">
        <f t="shared" ca="1" si="93"/>
        <v>43.198268557422971</v>
      </c>
      <c r="P184" s="893">
        <f t="shared" ca="1" si="94"/>
        <v>52.530418862100163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IFERROR(__xludf.DUMMYFUNCTION("IMPORTRANGE(""https://docs.google.com/spreadsheets/d/1MeEWN-I1oV_STSDYn1IFDPWt_1FKiwhDph83XaGc0o0/edit?usp=sharing"",""งบพรบ!CO45"")"),571200)</f>
        <v>571200</v>
      </c>
      <c r="M186" s="899">
        <f ca="1">IFERROR(__xludf.DUMMYFUNCTION("IMPORTRANGE(""https://docs.google.com/spreadsheets/d/1MeEWN-I1oV_STSDYn1IFDPWt_1FKiwhDph83XaGc0o0/edit?usp=sharing"",""งบพรบ!CT45"")"),469725)</f>
        <v>469725</v>
      </c>
      <c r="N186" s="899">
        <f ca="1">IFERROR(__xludf.DUMMYFUNCTION("IMPORTRANGE(""https://docs.google.com/spreadsheets/d/1MeEWN-I1oV_STSDYn1IFDPWt_1FKiwhDph83XaGc0o0/edit?usp=sharing"",""งบพรบ!CV45"")"),246748.51)</f>
        <v>246748.51</v>
      </c>
      <c r="O186" s="899">
        <f t="shared" ca="1" si="93"/>
        <v>43.198268557422971</v>
      </c>
      <c r="P186" s="899">
        <f t="shared" ca="1" si="94"/>
        <v>52.530418862100163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IFERROR(__xludf.DUMMYFUNCTION("IMPORTRANGE(""https://docs.google.com/spreadsheets/d/1MeEWN-I1oV_STSDYn1IFDPWt_1FKiwhDph83XaGc0o0/edit?usp=sharing"",""งบพรบ!CR45"")"),0)</f>
        <v>0</v>
      </c>
      <c r="M189" s="899">
        <f ca="1">IFERROR(__xludf.DUMMYFUNCTION("IMPORTRANGE(""https://docs.google.com/spreadsheets/d/1MeEWN-I1oV_STSDYn1IFDPWt_1FKiwhDph83XaGc0o0/edit?usp=sharing"",""งบพรบ!CU45"")"),0)</f>
        <v>0</v>
      </c>
      <c r="N189" s="899">
        <f ca="1">IFERROR(__xludf.DUMMYFUNCTION("IMPORTRANGE(""https://docs.google.com/spreadsheets/d/1MeEWN-I1oV_STSDYn1IFDPWt_1FKiwhDph83XaGc0o0/edit?usp=sharing"",""งบพรบ!CW45"")"),0)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IFERROR(__xludf.DUMMYFUNCTION("IMPORTRANGE(""https://docs.google.com/spreadsheets/d/1QqKyyYR6Q21VydFLVH3TRQUabQu_ym0Zz7PgGX0-kHA/edit?usp=sharing"",""แผน!Z45"")"),6000)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IFERROR(__xludf.DUMMYFUNCTION("IMPORTRANGE(""https://docs.google.com/spreadsheets/d/1QqKyyYR6Q21VydFLVH3TRQUabQu_ym0Zz7PgGX0-kHA/edit?usp=sharing"",""แผน!AC45"")"),4)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0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0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44000</v>
      </c>
      <c r="M198" s="1004"/>
      <c r="N198" s="1004">
        <f>N199+N200+N201+N202</f>
        <v>35550</v>
      </c>
      <c r="O198" s="1004">
        <f ca="1">IF(L198&gt;0,N198*100/L198,0)</f>
        <v>80.795454545454547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IFERROR(__xludf.DUMMYFUNCTION("IMPORTRANGE(""https://docs.google.com/spreadsheets/d/1QqKyyYR6Q21VydFLVH3TRQUabQu_ym0Zz7PgGX0-kHA/edit?usp=sharing"",""แผน!AE45"")"),3000)</f>
        <v>3000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IFERROR(__xludf.DUMMYFUNCTION("IMPORTRANGE(""https://docs.google.com/spreadsheets/d/1QqKyyYR6Q21VydFLVH3TRQUabQu_ym0Zz7PgGX0-kHA/edit?usp=sharing"",""แผน!AF45"")"),24000)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IFERROR(__xludf.DUMMYFUNCTION("IMPORTRANGE(""https://docs.google.com/spreadsheets/d/1QqKyyYR6Q21VydFLVH3TRQUabQu_ym0Zz7PgGX0-kHA/edit?usp=sharing"",""แผน!AG45"")"),12000)</f>
        <v>12000</v>
      </c>
      <c r="M201" s="893"/>
      <c r="N201" s="1096">
        <v>11550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IFERROR(__xludf.DUMMYFUNCTION("IMPORTRANGE(""https://docs.google.com/spreadsheets/d/1QqKyyYR6Q21VydFLVH3TRQUabQu_ym0Zz7PgGX0-kHA/edit?usp=sharing"",""แผน!AH45"")"),5000)</f>
        <v>5000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IFERROR(__xludf.DUMMYFUNCTION("IMPORTRANGE(""https://docs.google.com/spreadsheets/d/1QqKyyYR6Q21VydFLVH3TRQUabQu_ym0Zz7PgGX0-kHA/edit?usp=sharing"",""แผน!AI45"")"),3)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1</v>
      </c>
      <c r="J207" s="1024">
        <v>1</v>
      </c>
      <c r="K207" s="1010">
        <f t="shared" si="100"/>
        <v>100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 hidden="1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0</v>
      </c>
      <c r="J208" s="1089">
        <f t="shared" si="101"/>
        <v>0</v>
      </c>
      <c r="K208" s="1090">
        <f t="shared" ca="1" si="100"/>
        <v>0</v>
      </c>
      <c r="L208" s="1081"/>
      <c r="M208" s="1081"/>
      <c r="N208" s="1081"/>
      <c r="O208" s="1081"/>
      <c r="P208" s="1081"/>
    </row>
    <row r="209" spans="1:26" ht="19.5" hidden="1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0</v>
      </c>
      <c r="M209" s="1004"/>
      <c r="N209" s="1004">
        <f>N210+N211+N212</f>
        <v>0</v>
      </c>
      <c r="O209" s="1004">
        <f ca="1">IF(L209&gt;0,N209*100/L209,0)</f>
        <v>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 hidden="1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IFERROR(__xludf.DUMMYFUNCTION("IMPORTRANGE(""https://docs.google.com/spreadsheets/d/1QqKyyYR6Q21VydFLVH3TRQUabQu_ym0Zz7PgGX0-kHA/edit?usp=sharing"",""แผน!AK45"")"),0)</f>
        <v>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 hidden="1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IFERROR(__xludf.DUMMYFUNCTION("IMPORTRANGE(""https://docs.google.com/spreadsheets/d/1QqKyyYR6Q21VydFLVH3TRQUabQu_ym0Zz7PgGX0-kHA/edit?usp=sharing"",""แผน!AL45"")"),0)</f>
        <v>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 hidden="1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IFERROR(__xludf.DUMMYFUNCTION("IMPORTRANGE(""https://docs.google.com/spreadsheets/d/1QqKyyYR6Q21VydFLVH3TRQUabQu_ym0Zz7PgGX0-kHA/edit?usp=sharing"",""แผน!AM45"")"),0)</f>
        <v>0</v>
      </c>
      <c r="M212" s="893"/>
      <c r="N212" s="1096">
        <v>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 hidden="1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 hidden="1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IFERROR(__xludf.DUMMYFUNCTION("IMPORTRANGE(""https://docs.google.com/spreadsheets/d/1QqKyyYR6Q21VydFLVH3TRQUabQu_ym0Zz7PgGX0-kHA/edit?usp=sharing"",""แผน!AN45"")"),0)</f>
        <v>0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 hidden="1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IFERROR(__xludf.DUMMYFUNCTION("IMPORTRANGE(""https://docs.google.com/spreadsheets/d/1QqKyyYR6Q21VydFLVH3TRQUabQu_ym0Zz7PgGX0-kHA/edit?usp=sharing"",""แผน!AN45"")"),0)</f>
        <v>0</v>
      </c>
      <c r="J215" s="1024">
        <v>0</v>
      </c>
      <c r="K215" s="893">
        <f t="shared" ca="1" si="102"/>
        <v>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12800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7100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IFERROR(__xludf.DUMMYFUNCTION("IMPORTRANGE(""https://docs.google.com/spreadsheets/d/1QqKyyYR6Q21VydFLVH3TRQUabQu_ym0Zz7PgGX0-kHA/edit?usp=sharing"",""แผน!AP45"")"),3000)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IFERROR(__xludf.DUMMYFUNCTION("IMPORTRANGE(""https://docs.google.com/spreadsheets/d/1QqKyyYR6Q21VydFLVH3TRQUabQu_ym0Zz7PgGX0-kHA/edit?usp=sharing"",""แผน!AQ45"")"),4100)</f>
        <v>4100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IFERROR(__xludf.DUMMYFUNCTION("IMPORTRANGE(""https://docs.google.com/spreadsheets/d/1QqKyyYR6Q21VydFLVH3TRQUabQu_ym0Zz7PgGX0-kHA/edit?usp=sharing"",""แผน!AR45"")"),0)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IFERROR(__xludf.DUMMYFUNCTION("IMPORTRANGE(""https://docs.google.com/spreadsheets/d/1QqKyyYR6Q21VydFLVH3TRQUabQu_ym0Zz7PgGX0-kHA/edit?usp=sharing"",""แผน!AT45"")"),12800)</f>
        <v>12800</v>
      </c>
      <c r="J223" s="1024">
        <v>12800</v>
      </c>
      <c r="K223" s="1010">
        <f t="shared" ref="K223:K226" ca="1" si="104">IF(I223&gt;0,J223*100/I223,0)</f>
        <v>100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IFERROR(__xludf.DUMMYFUNCTION("IMPORTRANGE(""https://docs.google.com/spreadsheets/d/1QqKyyYR6Q21VydFLVH3TRQUabQu_ym0Zz7PgGX0-kHA/edit?usp=sharing"",""แผน!AT45"")"),12800)</f>
        <v>12800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IFERROR(__xludf.DUMMYFUNCTION("IMPORTRANGE(""https://docs.google.com/spreadsheets/d/1QqKyyYR6Q21VydFLVH3TRQUabQu_ym0Zz7PgGX0-kHA/edit?usp=sharing"",""แผน!AS45"")"),0)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40</v>
      </c>
      <c r="J226" s="1105">
        <f t="shared" si="105"/>
        <v>40</v>
      </c>
      <c r="K226" s="1106">
        <f t="shared" ca="1" si="104"/>
        <v>100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338600</v>
      </c>
      <c r="M227" s="1114"/>
      <c r="N227" s="1114">
        <f t="shared" ref="N227:N231" si="107">N238+N249</f>
        <v>111300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163000</v>
      </c>
      <c r="M228" s="899"/>
      <c r="N228" s="899">
        <f t="shared" si="107"/>
        <v>70280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145600</v>
      </c>
      <c r="M229" s="899"/>
      <c r="N229" s="899">
        <f t="shared" si="107"/>
        <v>41020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20000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10000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40</v>
      </c>
      <c r="J233" s="898">
        <f t="shared" si="108"/>
        <v>40</v>
      </c>
      <c r="K233" s="899">
        <f ca="1">IF(I233&gt;0,J233*100/I233,0)</f>
        <v>100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40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1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>
      <c r="A237" s="1076"/>
      <c r="B237" s="1083"/>
      <c r="C237" s="1088" t="s">
        <v>352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40</v>
      </c>
      <c r="J237" s="1089">
        <f t="shared" si="111"/>
        <v>40</v>
      </c>
      <c r="K237" s="1090">
        <f t="shared" ca="1" si="110"/>
        <v>100</v>
      </c>
      <c r="L237" s="1081"/>
      <c r="M237" s="1081"/>
      <c r="N237" s="1081"/>
      <c r="O237" s="1081"/>
      <c r="P237" s="1081"/>
    </row>
    <row r="238" spans="1:26" ht="19.5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338600</v>
      </c>
      <c r="M238" s="1004"/>
      <c r="N238" s="1004">
        <f>N239+N240+N241+N242</f>
        <v>111300</v>
      </c>
      <c r="O238" s="1004">
        <f ca="1">IF(L238&gt;0,N238*100/L238,0)</f>
        <v>32.8706438275251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IFERROR(__xludf.DUMMYFUNCTION("IMPORTRANGE(""https://docs.google.com/spreadsheets/d/1QqKyyYR6Q21VydFLVH3TRQUabQu_ym0Zz7PgGX0-kHA/edit?usp=sharing"",""แผน!AV45"")"),163000)</f>
        <v>163000</v>
      </c>
      <c r="M239" s="1135"/>
      <c r="N239" s="1136">
        <v>70280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IFERROR(__xludf.DUMMYFUNCTION("IMPORTRANGE(""https://docs.google.com/spreadsheets/d/1QqKyyYR6Q21VydFLVH3TRQUabQu_ym0Zz7PgGX0-kHA/edit?usp=sharing"",""แผน!AW45"")"),145600)</f>
        <v>145600</v>
      </c>
      <c r="M240" s="1135"/>
      <c r="N240" s="1136">
        <v>41020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IFERROR(__xludf.DUMMYFUNCTION("IMPORTRANGE(""https://docs.google.com/spreadsheets/d/1QqKyyYR6Q21VydFLVH3TRQUabQu_ym0Zz7PgGX0-kHA/edit?usp=sharing"",""แผน!AX45"")"),20000)</f>
        <v>20000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IFERROR(__xludf.DUMMYFUNCTION("IMPORTRANGE(""https://docs.google.com/spreadsheets/d/1QqKyyYR6Q21VydFLVH3TRQUabQu_ym0Zz7PgGX0-kHA/edit?usp=sharing"",""แผน!AY45"")"),10000)</f>
        <v>10000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IFERROR(__xludf.DUMMYFUNCTION("IMPORTRANGE(""https://docs.google.com/spreadsheets/d/1QqKyyYR6Q21VydFLVH3TRQUabQu_ym0Zz7PgGX0-kHA/edit?usp=sharing"",""แผน!BE45"")"),40)</f>
        <v>40</v>
      </c>
      <c r="J244" s="1024">
        <v>40</v>
      </c>
      <c r="K244" s="893">
        <f ca="1">IF(I244&gt;0,J244*100/I244,0)</f>
        <v>100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>
        <v>40</v>
      </c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>
        <v>1</v>
      </c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IFERROR(__xludf.DUMMYFUNCTION("IMPORTRANGE(""https://docs.google.com/spreadsheets/d/1QqKyyYR6Q21VydFLVH3TRQUabQu_ym0Zz7PgGX0-kHA/edit?usp=sharing"",""แผน!AZ45"")"),0)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IFERROR(__xludf.DUMMYFUNCTION("IMPORTRANGE(""https://docs.google.com/spreadsheets/d/1QqKyyYR6Q21VydFLVH3TRQUabQu_ym0Zz7PgGX0-kHA/edit?usp=sharing"",""แผน!BA45"")"),0)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IFERROR(__xludf.DUMMYFUNCTION("IMPORTRANGE(""https://docs.google.com/spreadsheets/d/1QqKyyYR6Q21VydFLVH3TRQUabQu_ym0Zz7PgGX0-kHA/edit?usp=sharing"",""แผน!BB45"")"),0)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IFERROR(__xludf.DUMMYFUNCTION("IMPORTRANGE(""https://docs.google.com/spreadsheets/d/1QqKyyYR6Q21VydFLVH3TRQUabQu_ym0Zz7PgGX0-kHA/edit?usp=sharing"",""แผน!BC45"")"),0)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IFERROR(__xludf.DUMMYFUNCTION("IMPORTRANGE(""https://docs.google.com/spreadsheets/d/1QqKyyYR6Q21VydFLVH3TRQUabQu_ym0Zz7PgGX0-kHA/edit?usp=sharing"",""แผน!BF45"")"),0)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26</v>
      </c>
      <c r="J260" s="1073">
        <f t="shared" si="115"/>
        <v>26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30700</v>
      </c>
      <c r="M261" s="1004">
        <f t="shared" ca="1" si="116"/>
        <v>27700</v>
      </c>
      <c r="N261" s="1004">
        <f t="shared" ca="1" si="116"/>
        <v>26192</v>
      </c>
      <c r="O261" s="1004">
        <f t="shared" ref="O261:O269" ca="1" si="117">IF(L261&gt;0,N261*100/L261,0)</f>
        <v>85.31596091205212</v>
      </c>
      <c r="P261" s="1004">
        <f t="shared" ref="P261:P269" ca="1" si="118">IF(M261&gt;0,N261*100/M261,0)</f>
        <v>94.555956678700355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30700</v>
      </c>
      <c r="M263" s="899">
        <f t="shared" ca="1" si="119"/>
        <v>27700</v>
      </c>
      <c r="N263" s="899">
        <f t="shared" ca="1" si="119"/>
        <v>26192</v>
      </c>
      <c r="O263" s="899">
        <f t="shared" ca="1" si="117"/>
        <v>85.31596091205212</v>
      </c>
      <c r="P263" s="899">
        <f t="shared" ca="1" si="118"/>
        <v>94.555956678700355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30700</v>
      </c>
      <c r="M264" s="893">
        <f t="shared" ca="1" si="120"/>
        <v>27700</v>
      </c>
      <c r="N264" s="893">
        <f t="shared" ca="1" si="120"/>
        <v>26192</v>
      </c>
      <c r="O264" s="893">
        <f t="shared" ca="1" si="117"/>
        <v>85.31596091205212</v>
      </c>
      <c r="P264" s="893">
        <f t="shared" ca="1" si="118"/>
        <v>94.555956678700355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IFERROR(__xludf.DUMMYFUNCTION("IMPORTRANGE(""https://docs.google.com/spreadsheets/d/1MeEWN-I1oV_STSDYn1IFDPWt_1FKiwhDph83XaGc0o0/edit?usp=sharing"",""งบพรบ!CY45"")"),30700)</f>
        <v>30700</v>
      </c>
      <c r="M266" s="899">
        <f ca="1">IFERROR(__xludf.DUMMYFUNCTION("IMPORTRANGE(""https://docs.google.com/spreadsheets/d/1MeEWN-I1oV_STSDYn1IFDPWt_1FKiwhDph83XaGc0o0/edit?usp=sharing"",""งบพรบ!DD45"")"),27700)</f>
        <v>27700</v>
      </c>
      <c r="N266" s="899">
        <f ca="1">IFERROR(__xludf.DUMMYFUNCTION("IMPORTRANGE(""https://docs.google.com/spreadsheets/d/1MeEWN-I1oV_STSDYn1IFDPWt_1FKiwhDph83XaGc0o0/edit?usp=sharing"",""งบพรบ!DF45"")"),26192)</f>
        <v>26192</v>
      </c>
      <c r="O266" s="899">
        <f t="shared" ca="1" si="117"/>
        <v>85.31596091205212</v>
      </c>
      <c r="P266" s="899">
        <f t="shared" ca="1" si="118"/>
        <v>94.555956678700355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IFERROR(__xludf.DUMMYFUNCTION("IMPORTRANGE(""https://docs.google.com/spreadsheets/d/1MeEWN-I1oV_STSDYn1IFDPWt_1FKiwhDph83XaGc0o0/edit?usp=sharing"",""งบพรบ!DB45"")"),0)</f>
        <v>0</v>
      </c>
      <c r="M269" s="899">
        <f ca="1">IFERROR(__xludf.DUMMYFUNCTION("IMPORTRANGE(""https://docs.google.com/spreadsheets/d/1MeEWN-I1oV_STSDYn1IFDPWt_1FKiwhDph83XaGc0o0/edit?usp=sharing"",""งบพรบ!DE45"")"),0)</f>
        <v>0</v>
      </c>
      <c r="N269" s="899">
        <f ca="1">IFERROR(__xludf.DUMMYFUNCTION("IMPORTRANGE(""https://docs.google.com/spreadsheets/d/1MeEWN-I1oV_STSDYn1IFDPWt_1FKiwhDph83XaGc0o0/edit?usp=sharing"",""งบพรบ!DG45"")"),0)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IFERROR(__xludf.DUMMYFUNCTION("IMPORTRANGE(""https://docs.google.com/spreadsheets/d/1QqKyyYR6Q21VydFLVH3TRQUabQu_ym0Zz7PgGX0-kHA/edit?usp=sharing"",""แผน!EA45"")"),26)</f>
        <v>26</v>
      </c>
      <c r="J271" s="1024">
        <v>26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30</v>
      </c>
      <c r="J275" s="1170">
        <f t="shared" ca="1" si="122"/>
        <v>30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300</v>
      </c>
      <c r="J276" s="1173">
        <f t="shared" si="124"/>
        <v>300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111710</v>
      </c>
      <c r="M277" s="1004">
        <f t="shared" ca="1" si="125"/>
        <v>111710</v>
      </c>
      <c r="N277" s="1004">
        <f t="shared" ca="1" si="125"/>
        <v>96345</v>
      </c>
      <c r="O277" s="1004">
        <f t="shared" ref="O277:O285" ca="1" si="126">IF(L277&gt;0,N277*100/L277,0)</f>
        <v>86.245636021842273</v>
      </c>
      <c r="P277" s="1004">
        <f t="shared" ref="P277:P285" ca="1" si="127">IF(M277&gt;0,N277*100/M277,0)</f>
        <v>86.245636021842273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111710</v>
      </c>
      <c r="M279" s="899">
        <f t="shared" ca="1" si="128"/>
        <v>111710</v>
      </c>
      <c r="N279" s="899">
        <f t="shared" ca="1" si="128"/>
        <v>96345</v>
      </c>
      <c r="O279" s="899">
        <f t="shared" ca="1" si="126"/>
        <v>86.245636021842273</v>
      </c>
      <c r="P279" s="899">
        <f t="shared" ca="1" si="127"/>
        <v>86.245636021842273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111710</v>
      </c>
      <c r="M280" s="893">
        <f t="shared" ca="1" si="129"/>
        <v>111710</v>
      </c>
      <c r="N280" s="893">
        <f t="shared" ca="1" si="129"/>
        <v>96345</v>
      </c>
      <c r="O280" s="893">
        <f t="shared" ca="1" si="126"/>
        <v>86.245636021842273</v>
      </c>
      <c r="P280" s="893">
        <f t="shared" ca="1" si="127"/>
        <v>86.245636021842273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IFERROR(__xludf.DUMMYFUNCTION("IMPORTRANGE(""https://docs.google.com/spreadsheets/d/1MeEWN-I1oV_STSDYn1IFDPWt_1FKiwhDph83XaGc0o0/edit?usp=sharing"",""งบพรบ!DI45"")"),111710)</f>
        <v>111710</v>
      </c>
      <c r="M282" s="899">
        <f ca="1">IFERROR(__xludf.DUMMYFUNCTION("IMPORTRANGE(""https://docs.google.com/spreadsheets/d/1MeEWN-I1oV_STSDYn1IFDPWt_1FKiwhDph83XaGc0o0/edit?usp=sharing"",""งบพรบ!DN45"")"),111710)</f>
        <v>111710</v>
      </c>
      <c r="N282" s="899">
        <f ca="1">IFERROR(__xludf.DUMMYFUNCTION("IMPORTRANGE(""https://docs.google.com/spreadsheets/d/1MeEWN-I1oV_STSDYn1IFDPWt_1FKiwhDph83XaGc0o0/edit?usp=sharing"",""งบพรบ!DP45"")"),96345)</f>
        <v>96345</v>
      </c>
      <c r="O282" s="899">
        <f t="shared" ca="1" si="126"/>
        <v>86.245636021842273</v>
      </c>
      <c r="P282" s="899">
        <f t="shared" ca="1" si="127"/>
        <v>86.245636021842273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IFERROR(__xludf.DUMMYFUNCTION("IMPORTRANGE(""https://docs.google.com/spreadsheets/d/1MeEWN-I1oV_STSDYn1IFDPWt_1FKiwhDph83XaGc0o0/edit?usp=sharing"",""งบพรบ!DL45"")"),0)</f>
        <v>0</v>
      </c>
      <c r="M285" s="899">
        <f ca="1">IFERROR(__xludf.DUMMYFUNCTION("IMPORTRANGE(""https://docs.google.com/spreadsheets/d/1MeEWN-I1oV_STSDYn1IFDPWt_1FKiwhDph83XaGc0o0/edit?usp=sharing"",""งบพรบ!DO45"")"),0)</f>
        <v>0</v>
      </c>
      <c r="N285" s="899">
        <f ca="1">IFERROR(__xludf.DUMMYFUNCTION("IMPORTRANGE(""https://docs.google.com/spreadsheets/d/1MeEWN-I1oV_STSDYn1IFDPWt_1FKiwhDph83XaGc0o0/edit?usp=sharing"",""งบพรบ!DQ45"")"),0)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IFERROR(__xludf.DUMMYFUNCTION("IMPORTRANGE(""https://docs.google.com/spreadsheets/d/1QqKyyYR6Q21VydFLVH3TRQUabQu_ym0Zz7PgGX0-kHA/edit?usp=sharing"",""แผน!EC45"")"),300)</f>
        <v>300</v>
      </c>
      <c r="J287" s="1024">
        <v>300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IFERROR(__xludf.DUMMYFUNCTION("IMPORTRANGE(""https://docs.google.com/spreadsheets/d/1QqKyyYR6Q21VydFLVH3TRQUabQu_ym0Zz7PgGX0-kHA/edit?usp=sharing"",""แผน!EB45"")"),30)</f>
        <v>30</v>
      </c>
      <c r="J288" s="1031">
        <f ca="1">IF(AND(J291&gt;=I288,J294&gt;=I288),J294,0)</f>
        <v>30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IFERROR(__xludf.DUMMYFUNCTION("IMPORTRANGE(""https://docs.google.com/spreadsheets/d/1QqKyyYR6Q21VydFLVH3TRQUabQu_ym0Zz7PgGX0-kHA/edit?usp=sharing"",""แผน!EB45"")"),30)</f>
        <v>30</v>
      </c>
      <c r="J290" s="1024">
        <v>30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IFERROR(__xludf.DUMMYFUNCTION("IMPORTRANGE(""https://docs.google.com/spreadsheets/d/1QqKyyYR6Q21VydFLVH3TRQUabQu_ym0Zz7PgGX0-kHA/edit?usp=sharing"",""แผน!EB45"")"),30)</f>
        <v>30</v>
      </c>
      <c r="J291" s="1024">
        <v>30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IFERROR(__xludf.DUMMYFUNCTION("IMPORTRANGE(""https://docs.google.com/spreadsheets/d/1QqKyyYR6Q21VydFLVH3TRQUabQu_ym0Zz7PgGX0-kHA/edit?usp=sharing"",""แผน!EB45"")"),30)</f>
        <v>30</v>
      </c>
      <c r="J293" s="1024">
        <v>30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IFERROR(__xludf.DUMMYFUNCTION("IMPORTRANGE(""https://docs.google.com/spreadsheets/d/1QqKyyYR6Q21VydFLVH3TRQUabQu_ym0Zz7PgGX0-kHA/edit?usp=sharing"",""แผน!EB45"")"),30)</f>
        <v>30</v>
      </c>
      <c r="J294" s="1183">
        <v>30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59300</v>
      </c>
      <c r="O298" s="1004">
        <f t="shared" ref="O298:O306" ca="1" si="136">IF(L298&gt;0,N298*100/L298,0)</f>
        <v>71.966019417475735</v>
      </c>
      <c r="P298" s="1004">
        <f t="shared" ref="P298:P306" ca="1" si="137">IF(M298&gt;0,N298*100/M298,0)</f>
        <v>92.0807453416149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59300</v>
      </c>
      <c r="O300" s="899">
        <f t="shared" ca="1" si="136"/>
        <v>71.966019417475735</v>
      </c>
      <c r="P300" s="899">
        <f t="shared" ca="1" si="137"/>
        <v>92.0807453416149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59300</v>
      </c>
      <c r="O301" s="893">
        <f t="shared" ca="1" si="136"/>
        <v>71.966019417475735</v>
      </c>
      <c r="P301" s="893">
        <f t="shared" ca="1" si="137"/>
        <v>92.0807453416149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IFERROR(__xludf.DUMMYFUNCTION("IMPORTRANGE(""https://docs.google.com/spreadsheets/d/1MeEWN-I1oV_STSDYn1IFDPWt_1FKiwhDph83XaGc0o0/edit?usp=sharing"",""งบพรบ!DS45"")"),82400)</f>
        <v>82400</v>
      </c>
      <c r="M303" s="899">
        <f ca="1">IFERROR(__xludf.DUMMYFUNCTION("IMPORTRANGE(""https://docs.google.com/spreadsheets/d/1MeEWN-I1oV_STSDYn1IFDPWt_1FKiwhDph83XaGc0o0/edit?usp=sharing"",""งบพรบ!DX45"")"),64400)</f>
        <v>64400</v>
      </c>
      <c r="N303" s="899">
        <f ca="1">IFERROR(__xludf.DUMMYFUNCTION("IMPORTRANGE(""https://docs.google.com/spreadsheets/d/1MeEWN-I1oV_STSDYn1IFDPWt_1FKiwhDph83XaGc0o0/edit?usp=sharing"",""งบพรบ!DZ45"")"),59300)</f>
        <v>59300</v>
      </c>
      <c r="O303" s="899">
        <f t="shared" ca="1" si="136"/>
        <v>71.966019417475735</v>
      </c>
      <c r="P303" s="899">
        <f t="shared" ca="1" si="137"/>
        <v>92.0807453416149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IFERROR(__xludf.DUMMYFUNCTION("IMPORTRANGE(""https://docs.google.com/spreadsheets/d/1MeEWN-I1oV_STSDYn1IFDPWt_1FKiwhDph83XaGc0o0/edit?usp=sharing"",""งบพรบ!DV45"")"),0)</f>
        <v>0</v>
      </c>
      <c r="M306" s="899">
        <f ca="1">IFERROR(__xludf.DUMMYFUNCTION("IMPORTRANGE(""https://docs.google.com/spreadsheets/d/1MeEWN-I1oV_STSDYn1IFDPWt_1FKiwhDph83XaGc0o0/edit?usp=sharing"",""งบพรบ!DY45"")"),0)</f>
        <v>0</v>
      </c>
      <c r="N306" s="899">
        <f ca="1">IFERROR(__xludf.DUMMYFUNCTION("IMPORTRANGE(""https://docs.google.com/spreadsheets/d/1MeEWN-I1oV_STSDYn1IFDPWt_1FKiwhDph83XaGc0o0/edit?usp=sharing"",""งบพรบ!EA45"")"),0)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IFERROR(__xludf.DUMMYFUNCTION("IMPORTRANGE(""https://docs.google.com/spreadsheets/d/1QqKyyYR6Q21VydFLVH3TRQUabQu_ym0Zz7PgGX0-kHA/edit?usp=sharing"",""แผน!ED45"")"),20)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IFERROR(__xludf.DUMMYFUNCTION("IMPORTRANGE(""https://docs.google.com/spreadsheets/d/1QqKyyYR6Q21VydFLVH3TRQUabQu_ym0Zz7PgGX0-kHA/edit?usp=sharing"",""แผน!ED45"")"),20)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IFERROR(__xludf.DUMMYFUNCTION("IMPORTRANGE(""https://docs.google.com/spreadsheets/d/1QqKyyYR6Q21VydFLVH3TRQUabQu_ym0Zz7PgGX0-kHA/edit?usp=sharing"",""แผน!ED45"")"),20)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IFERROR(__xludf.DUMMYFUNCTION("IMPORTRANGE(""https://docs.google.com/spreadsheets/d/1QqKyyYR6Q21VydFLVH3TRQUabQu_ym0Zz7PgGX0-kHA/edit?usp=sharing"",""แผน!EE45"")"),4)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IFERROR(__xludf.DUMMYFUNCTION("IMPORTRANGE(""https://docs.google.com/spreadsheets/d/1MeEWN-I1oV_STSDYn1IFDPWt_1FKiwhDph83XaGc0o0/edit?usp=sharing"",""งบพรบ!EC45"")"),0)</f>
        <v>0</v>
      </c>
      <c r="M320" s="899">
        <f ca="1">IFERROR(__xludf.DUMMYFUNCTION("IMPORTRANGE(""https://docs.google.com/spreadsheets/d/1MeEWN-I1oV_STSDYn1IFDPWt_1FKiwhDph83XaGc0o0/edit?usp=sharing"",""งบพรบ!EH45"")"),0)</f>
        <v>0</v>
      </c>
      <c r="N320" s="899">
        <f ca="1">IFERROR(__xludf.DUMMYFUNCTION("IMPORTRANGE(""https://docs.google.com/spreadsheets/d/1MeEWN-I1oV_STSDYn1IFDPWt_1FKiwhDph83XaGc0o0/edit?usp=sharing"",""งบพรบ!EJ45"")"),0)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IFERROR(__xludf.DUMMYFUNCTION("IMPORTRANGE(""https://docs.google.com/spreadsheets/d/1MeEWN-I1oV_STSDYn1IFDPWt_1FKiwhDph83XaGc0o0/edit?usp=sharing"",""งบพรบ!EF45"")"),0)</f>
        <v>0</v>
      </c>
      <c r="M323" s="899">
        <f ca="1">IFERROR(__xludf.DUMMYFUNCTION("IMPORTRANGE(""https://docs.google.com/spreadsheets/d/1MeEWN-I1oV_STSDYn1IFDPWt_1FKiwhDph83XaGc0o0/edit?usp=sharing"",""งบพรบ!EI45"")"),0)</f>
        <v>0</v>
      </c>
      <c r="N323" s="899">
        <f ca="1">IFERROR(__xludf.DUMMYFUNCTION("IMPORTRANGE(""https://docs.google.com/spreadsheets/d/1MeEWN-I1oV_STSDYn1IFDPWt_1FKiwhDph83XaGc0o0/edit?usp=sharing"",""งบพรบ!EK45"")"),0)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IFERROR(__xludf.DUMMYFUNCTION("IMPORTRANGE(""https://docs.google.com/spreadsheets/d/1QqKyyYR6Q21VydFLVH3TRQUabQu_ym0Zz7PgGX0-kHA/edit?usp=sharing"",""แผน!EF45"")"),0)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IFERROR(__xludf.DUMMYFUNCTION("IMPORTRANGE(""https://docs.google.com/spreadsheets/d/1QqKyyYR6Q21VydFLVH3TRQUabQu_ym0Zz7PgGX0-kHA/edit?usp=sharing"",""แผน!EG45"")"),3000)</f>
        <v>3000</v>
      </c>
      <c r="J327" s="1202">
        <f ca="1">J338+J341+J342+J343</f>
        <v>2580</v>
      </c>
      <c r="K327" s="1203">
        <f ca="1">IF(I327&gt;0,J327*100/I327,0)</f>
        <v>86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176000</v>
      </c>
      <c r="M328" s="1004">
        <f t="shared" ca="1" si="149"/>
        <v>134500</v>
      </c>
      <c r="N328" s="1004">
        <f t="shared" ca="1" si="149"/>
        <v>89080</v>
      </c>
      <c r="O328" s="1004">
        <f t="shared" ref="O328:O336" ca="1" si="150">IF(L328&gt;0,N328*100/L328,0)</f>
        <v>50.613636363636367</v>
      </c>
      <c r="P328" s="1004">
        <f t="shared" ref="P328:P336" ca="1" si="151">IF(M328&gt;0,N328*100/M328,0)</f>
        <v>66.230483271375462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176000</v>
      </c>
      <c r="M330" s="899">
        <f t="shared" ca="1" si="152"/>
        <v>134500</v>
      </c>
      <c r="N330" s="899">
        <f t="shared" ca="1" si="152"/>
        <v>89080</v>
      </c>
      <c r="O330" s="899">
        <f t="shared" ca="1" si="150"/>
        <v>50.613636363636367</v>
      </c>
      <c r="P330" s="899">
        <f t="shared" ca="1" si="151"/>
        <v>66.230483271375462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176000</v>
      </c>
      <c r="M331" s="893">
        <f t="shared" ca="1" si="153"/>
        <v>134500</v>
      </c>
      <c r="N331" s="893">
        <f t="shared" ca="1" si="153"/>
        <v>89080</v>
      </c>
      <c r="O331" s="893">
        <f t="shared" ca="1" si="150"/>
        <v>50.613636363636367</v>
      </c>
      <c r="P331" s="893">
        <f t="shared" ca="1" si="151"/>
        <v>66.230483271375462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IFERROR(__xludf.DUMMYFUNCTION("IMPORTRANGE(""https://docs.google.com/spreadsheets/d/1MeEWN-I1oV_STSDYn1IFDPWt_1FKiwhDph83XaGc0o0/edit?usp=sharing"",""งบพรบ!EM45"")"),176000)</f>
        <v>176000</v>
      </c>
      <c r="M333" s="899">
        <f ca="1">IFERROR(__xludf.DUMMYFUNCTION("IMPORTRANGE(""https://docs.google.com/spreadsheets/d/1MeEWN-I1oV_STSDYn1IFDPWt_1FKiwhDph83XaGc0o0/edit?usp=sharing"",""งบพรบ!ER45"")"),134500)</f>
        <v>134500</v>
      </c>
      <c r="N333" s="899">
        <f ca="1">IFERROR(__xludf.DUMMYFUNCTION("IMPORTRANGE(""https://docs.google.com/spreadsheets/d/1MeEWN-I1oV_STSDYn1IFDPWt_1FKiwhDph83XaGc0o0/edit?usp=sharing"",""งบพรบ!ET45"")"),89080)</f>
        <v>89080</v>
      </c>
      <c r="O333" s="899">
        <f t="shared" ca="1" si="150"/>
        <v>50.613636363636367</v>
      </c>
      <c r="P333" s="899">
        <f t="shared" ca="1" si="151"/>
        <v>66.230483271375462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IFERROR(__xludf.DUMMYFUNCTION("IMPORTRANGE(""https://docs.google.com/spreadsheets/d/1MeEWN-I1oV_STSDYn1IFDPWt_1FKiwhDph83XaGc0o0/edit?usp=sharing"",""งบพรบ!EP45"")"),0)</f>
        <v>0</v>
      </c>
      <c r="M336" s="899">
        <f ca="1">IFERROR(__xludf.DUMMYFUNCTION("IMPORTRANGE(""https://docs.google.com/spreadsheets/d/1MeEWN-I1oV_STSDYn1IFDPWt_1FKiwhDph83XaGc0o0/edit?usp=sharing"",""งบพรบ!ES45"")"),0)</f>
        <v>0</v>
      </c>
      <c r="N336" s="899">
        <f ca="1">IFERROR(__xludf.DUMMYFUNCTION("IMPORTRANGE(""https://docs.google.com/spreadsheets/d/1MeEWN-I1oV_STSDYn1IFDPWt_1FKiwhDph83XaGc0o0/edit?usp=sharing"",""งบพรบ!EU45"")"),0)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IFERROR(__xludf.DUMMYFUNCTION("IMPORTRANGE(""https://docs.google.com/spreadsheets/d/1QqKyyYR6Q21VydFLVH3TRQUabQu_ym0Zz7PgGX0-kHA/edit?usp=sharing"",""แผน!EG45"")"),3000)</f>
        <v>3000</v>
      </c>
      <c r="J338" s="892">
        <f ca="1">IFERROR(__xludf.DUMMYFUNCTION("IMPORTRANGE(""https://docs.google.com/spreadsheets/d/1kVcqe37tkHyjCSG3S0O1AXqVkqjo8mSIZil3BcpIysc/edit?usp=sharing"",""ศูนย์!D45"")"),1860)</f>
        <v>1860</v>
      </c>
      <c r="K338" s="893">
        <f ca="1">IF(I338&gt;0,J338*100/I338,0)</f>
        <v>62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IFERROR(__xludf.DUMMYFUNCTION("IMPORTRANGE(""https://docs.google.com/spreadsheets/d/1QqKyyYR6Q21VydFLVH3TRQUabQu_ym0Zz7PgGX0-kHA/edit?usp=sharing"",""แผน!EH45"")"),9)</f>
        <v>9</v>
      </c>
      <c r="J340" s="892">
        <f ca="1">IFERROR(__xludf.DUMMYFUNCTION("IMPORTRANGE(""https://docs.google.com/spreadsheets/d/1kVcqe37tkHyjCSG3S0O1AXqVkqjo8mSIZil3BcpIysc/edit?usp=sharing"",""ศูนย์!E45"")"),5)</f>
        <v>5</v>
      </c>
      <c r="K340" s="893">
        <f ca="1">IF(I340&gt;0,J340*100/I340,0)</f>
        <v>55.555555555555557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IFERROR(__xludf.DUMMYFUNCTION("IMPORTRANGE(""https://docs.google.com/spreadsheets/d/1kVcqe37tkHyjCSG3S0O1AXqVkqjo8mSIZil3BcpIysc/edit?usp=sharing"",""ศูนย์!F45"")"),720)</f>
        <v>720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IFERROR(__xludf.DUMMYFUNCTION("IMPORTRANGE(""https://docs.google.com/spreadsheets/d/1kVcqe37tkHyjCSG3S0O1AXqVkqjo8mSIZil3BcpIysc/edit?usp=sharing"",""ศูนย์!G45"")"),0)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IFERROR(__xludf.DUMMYFUNCTION("IMPORTRANGE(""https://docs.google.com/spreadsheets/d/1kVcqe37tkHyjCSG3S0O1AXqVkqjo8mSIZil3BcpIysc/edit?usp=sharing"",""ศูนย์!H45"")"),0)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1645500</v>
      </c>
      <c r="M345" s="1004">
        <f t="shared" ca="1" si="155"/>
        <v>1256630</v>
      </c>
      <c r="N345" s="1004">
        <f t="shared" ca="1" si="155"/>
        <v>730301</v>
      </c>
      <c r="O345" s="1004">
        <f t="shared" ref="O345:O353" ca="1" si="156">IF(L345&gt;0,N345*100/L345,0)</f>
        <v>44.381707687632939</v>
      </c>
      <c r="P345" s="1004">
        <f t="shared" ref="P345:P353" ca="1" si="157">IF(M345&gt;0,N345*100/M345,0)</f>
        <v>58.115833618487542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1645500</v>
      </c>
      <c r="M347" s="899">
        <f t="shared" ca="1" si="158"/>
        <v>1256630</v>
      </c>
      <c r="N347" s="899">
        <f t="shared" ca="1" si="158"/>
        <v>730301</v>
      </c>
      <c r="O347" s="899">
        <f t="shared" ca="1" si="156"/>
        <v>44.381707687632939</v>
      </c>
      <c r="P347" s="899">
        <f t="shared" ca="1" si="157"/>
        <v>58.115833618487542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1523900</v>
      </c>
      <c r="M348" s="893">
        <f t="shared" ca="1" si="159"/>
        <v>1135030</v>
      </c>
      <c r="N348" s="893">
        <f t="shared" ca="1" si="159"/>
        <v>608701</v>
      </c>
      <c r="O348" s="893">
        <f t="shared" ca="1" si="156"/>
        <v>39.943631471881361</v>
      </c>
      <c r="P348" s="893">
        <f t="shared" ca="1" si="157"/>
        <v>53.628626556126271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IFERROR(__xludf.DUMMYFUNCTION("IMPORTRANGE(""https://docs.google.com/spreadsheets/d/1MeEWN-I1oV_STSDYn1IFDPWt_1FKiwhDph83XaGc0o0/edit?usp=sharing"",""งบพรบ!EW45"")"),1523900)</f>
        <v>1523900</v>
      </c>
      <c r="M350" s="899">
        <f ca="1">IFERROR(__xludf.DUMMYFUNCTION("IMPORTRANGE(""https://docs.google.com/spreadsheets/d/1MeEWN-I1oV_STSDYn1IFDPWt_1FKiwhDph83XaGc0o0/edit?usp=sharing"",""งบพรบ!FB45"")"),1135030)</f>
        <v>1135030</v>
      </c>
      <c r="N350" s="899">
        <f ca="1">IFERROR(__xludf.DUMMYFUNCTION("IMPORTRANGE(""https://docs.google.com/spreadsheets/d/1MeEWN-I1oV_STSDYn1IFDPWt_1FKiwhDph83XaGc0o0/edit?usp=sharing"",""งบพรบ!FD45"")"),608701)</f>
        <v>608701</v>
      </c>
      <c r="O350" s="899">
        <f t="shared" ca="1" si="156"/>
        <v>39.943631471881361</v>
      </c>
      <c r="P350" s="899">
        <f t="shared" ca="1" si="157"/>
        <v>53.628626556126271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121600</v>
      </c>
      <c r="M351" s="893">
        <f t="shared" ca="1" si="160"/>
        <v>121600</v>
      </c>
      <c r="N351" s="893">
        <f t="shared" ca="1" si="160"/>
        <v>121600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IFERROR(__xludf.DUMMYFUNCTION("IMPORTRANGE(""https://docs.google.com/spreadsheets/d/1MeEWN-I1oV_STSDYn1IFDPWt_1FKiwhDph83XaGc0o0/edit?usp=sharing"",""งบพรบ!EZ45"")"),121600)</f>
        <v>121600</v>
      </c>
      <c r="M353" s="899">
        <f ca="1">IFERROR(__xludf.DUMMYFUNCTION("IMPORTRANGE(""https://docs.google.com/spreadsheets/d/1MeEWN-I1oV_STSDYn1IFDPWt_1FKiwhDph83XaGc0o0/edit?usp=sharing"",""งบพรบ!FC45"")"),121600)</f>
        <v>121600</v>
      </c>
      <c r="N353" s="899">
        <f ca="1">IFERROR(__xludf.DUMMYFUNCTION("IMPORTRANGE(""https://docs.google.com/spreadsheets/d/1MeEWN-I1oV_STSDYn1IFDPWt_1FKiwhDph83XaGc0o0/edit?usp=sharing"",""งบพรบ!FE45"")"),121600)</f>
        <v>121600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IFERROR(__xludf.DUMMYFUNCTION("IMPORTRANGE(""https://docs.google.com/spreadsheets/d/1QqKyyYR6Q21VydFLVH3TRQUabQu_ym0Zz7PgGX0-kHA/edit?usp=sharing"",""แผน!EP45"")"),840)</f>
        <v>840</v>
      </c>
      <c r="J355" s="1218">
        <f ca="1">J362</f>
        <v>53</v>
      </c>
      <c r="K355" s="1219">
        <f ca="1">IF(I355&gt;0,J355*100/I355,0)</f>
        <v>6.3095238095238093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IFERROR(__xludf.DUMMYFUNCTION("IMPORTRANGE(""https://docs.google.com/spreadsheets/d/1XWAQStnk-4SwqDmLtmXYiTMKHgktTP8We1SCoS47DrQ/edit?usp=sharing"",""จัดที่ดิน!W45"")"),540)</f>
        <v>540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IFERROR(__xludf.DUMMYFUNCTION("IMPORTRANGE(""https://docs.google.com/spreadsheets/d/1QqKyyYR6Q21VydFLVH3TRQUabQu_ym0Zz7PgGX0-kHA/edit?usp=sharing"",""แผน!EO45"")"),10400)</f>
        <v>10400</v>
      </c>
      <c r="J359" s="892">
        <f ca="1">IFERROR(__xludf.DUMMYFUNCTION("IMPORTRANGE(""https://docs.google.com/spreadsheets/d/1XWAQStnk-4SwqDmLtmXYiTMKHgktTP8We1SCoS47DrQ/edit?usp=sharing"",""จัดที่ดิน!X45"")"),4138.63)</f>
        <v>4138.63</v>
      </c>
      <c r="K359" s="893">
        <f t="shared" ca="1" si="161"/>
        <v>39.794519230769232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IFERROR(__xludf.DUMMYFUNCTION("IMPORTRANGE(""https://docs.google.com/spreadsheets/d/1QqKyyYR6Q21VydFLVH3TRQUabQu_ym0Zz7PgGX0-kHA/edit?usp=sharing"",""แผน!EP45"")"),840)</f>
        <v>840</v>
      </c>
      <c r="J360" s="892">
        <f ca="1">IFERROR(__xludf.DUMMYFUNCTION("IMPORTRANGE(""https://docs.google.com/spreadsheets/d/1XWAQStnk-4SwqDmLtmXYiTMKHgktTP8We1SCoS47DrQ/edit?usp=sharing"",""จัดที่ดิน!Y45"")"),499)</f>
        <v>499</v>
      </c>
      <c r="K360" s="893">
        <f t="shared" ca="1" si="161"/>
        <v>59.404761904761905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IFERROR(__xludf.DUMMYFUNCTION("IMPORTRANGE(""https://docs.google.com/spreadsheets/d/1XWAQStnk-4SwqDmLtmXYiTMKHgktTP8We1SCoS47DrQ/edit?usp=sharing"",""จัดที่ดิน!Z45"")"),3546.5)</f>
        <v>3546.5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IFERROR(__xludf.DUMMYFUNCTION("IMPORTRANGE(""https://docs.google.com/spreadsheets/d/1QqKyyYR6Q21VydFLVH3TRQUabQu_ym0Zz7PgGX0-kHA/edit?usp=sharing"",""แผน!EP45"")"),840)</f>
        <v>840</v>
      </c>
      <c r="J362" s="892">
        <f ca="1">IFERROR(__xludf.DUMMYFUNCTION("IMPORTRANGE(""https://docs.google.com/spreadsheets/d/1XWAQStnk-4SwqDmLtmXYiTMKHgktTP8We1SCoS47DrQ/edit?usp=sharing"",""จัดที่ดิน!AA45"")"),53)</f>
        <v>53</v>
      </c>
      <c r="K362" s="893">
        <f t="shared" ca="1" si="161"/>
        <v>6.3095238095238093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IFERROR(__xludf.DUMMYFUNCTION("IMPORTRANGE(""https://docs.google.com/spreadsheets/d/1XWAQStnk-4SwqDmLtmXYiTMKHgktTP8We1SCoS47DrQ/edit?usp=sharing"",""จัดที่ดิน!AB45"")"),376.25)</f>
        <v>376.25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1890</v>
      </c>
      <c r="J364" s="1231">
        <f t="shared" ca="1" si="162"/>
        <v>193</v>
      </c>
      <c r="K364" s="1232">
        <f t="shared" ca="1" si="161"/>
        <v>10.211640211640212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IFERROR(__xludf.DUMMYFUNCTION("IMPORTRANGE(""https://docs.google.com/spreadsheets/d/1QqKyyYR6Q21VydFLVH3TRQUabQu_ym0Zz7PgGX0-kHA/edit?usp=sharing"",""แผน!EJ45"")"),370)</f>
        <v>370</v>
      </c>
      <c r="J365" s="1239">
        <f ca="1">J372</f>
        <v>29</v>
      </c>
      <c r="K365" s="1240">
        <f t="shared" ca="1" si="161"/>
        <v>7.8378378378378377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IFERROR(__xludf.DUMMYFUNCTION("IMPORTRANGE(""https://docs.google.com/spreadsheets/d/1XWAQStnk-4SwqDmLtmXYiTMKHgktTP8We1SCoS47DrQ/edit?usp=sharing"",""จัดที่ดิน!E45"")"),101)</f>
        <v>101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IFERROR(__xludf.DUMMYFUNCTION("IMPORTRANGE(""https://docs.google.com/spreadsheets/d/1QqKyyYR6Q21VydFLVH3TRQUabQu_ym0Zz7PgGX0-kHA/edit?usp=sharing"",""แผน!EI45"")"),3700)</f>
        <v>3700</v>
      </c>
      <c r="J369" s="892">
        <f ca="1">IFERROR(__xludf.DUMMYFUNCTION("IMPORTRANGE(""https://docs.google.com/spreadsheets/d/1XWAQStnk-4SwqDmLtmXYiTMKHgktTP8We1SCoS47DrQ/edit?usp=sharing"",""จัดที่ดิน!F45"")"),1071.34)</f>
        <v>1071.3399999999999</v>
      </c>
      <c r="K369" s="893">
        <f t="shared" ca="1" si="163"/>
        <v>28.95513513513513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IFERROR(__xludf.DUMMYFUNCTION("IMPORTRANGE(""https://docs.google.com/spreadsheets/d/1QqKyyYR6Q21VydFLVH3TRQUabQu_ym0Zz7PgGX0-kHA/edit?usp=sharing"",""แผน!EJ45"")"),370)</f>
        <v>370</v>
      </c>
      <c r="J370" s="892">
        <f ca="1">IFERROR(__xludf.DUMMYFUNCTION("IMPORTRANGE(""https://docs.google.com/spreadsheets/d/1XWAQStnk-4SwqDmLtmXYiTMKHgktTP8We1SCoS47DrQ/edit?usp=sharing"",""จัดที่ดิน!G45"")"),68)</f>
        <v>68</v>
      </c>
      <c r="K370" s="893">
        <f t="shared" ca="1" si="163"/>
        <v>18.378378378378379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IFERROR(__xludf.DUMMYFUNCTION("IMPORTRANGE(""https://docs.google.com/spreadsheets/d/1XWAQStnk-4SwqDmLtmXYiTMKHgktTP8We1SCoS47DrQ/edit?usp=sharing"",""จัดที่ดิน!H45"")"),507.28)</f>
        <v>507.28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IFERROR(__xludf.DUMMYFUNCTION("IMPORTRANGE(""https://docs.google.com/spreadsheets/d/1QqKyyYR6Q21VydFLVH3TRQUabQu_ym0Zz7PgGX0-kHA/edit?usp=sharing"",""แผน!EJ45"")"),370)</f>
        <v>370</v>
      </c>
      <c r="J372" s="892">
        <f ca="1">IFERROR(__xludf.DUMMYFUNCTION("IMPORTRANGE(""https://docs.google.com/spreadsheets/d/1XWAQStnk-4SwqDmLtmXYiTMKHgktTP8We1SCoS47DrQ/edit?usp=sharing"",""จัดที่ดิน!I45"")"),29)</f>
        <v>29</v>
      </c>
      <c r="K372" s="893">
        <f t="shared" ca="1" si="163"/>
        <v>7.8378378378378377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IFERROR(__xludf.DUMMYFUNCTION("IMPORTRANGE(""https://docs.google.com/spreadsheets/d/1XWAQStnk-4SwqDmLtmXYiTMKHgktTP8We1SCoS47DrQ/edit?usp=sharing"",""จัดที่ดิน!J45"")"),211.15)</f>
        <v>211.15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IFERROR(__xludf.DUMMYFUNCTION("IMPORTRANGE(""https://docs.google.com/spreadsheets/d/1QqKyyYR6Q21VydFLVH3TRQUabQu_ym0Zz7PgGX0-kHA/edit?usp=sharing"",""แผน!EU45"")"),1520)</f>
        <v>1520</v>
      </c>
      <c r="J374" s="1239">
        <f ca="1">J381</f>
        <v>164</v>
      </c>
      <c r="K374" s="1240">
        <f t="shared" ca="1" si="163"/>
        <v>10.789473684210526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IFERROR(__xludf.DUMMYFUNCTION("IMPORTRANGE(""https://docs.google.com/spreadsheets/d/1XWAQStnk-4SwqDmLtmXYiTMKHgktTP8We1SCoS47DrQ/edit?usp=sharing"",""จัดที่ดิน!AH45"")"),439)</f>
        <v>439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IFERROR(__xludf.DUMMYFUNCTION("IMPORTRANGE(""https://docs.google.com/spreadsheets/d/1QqKyyYR6Q21VydFLVH3TRQUabQu_ym0Zz7PgGX0-kHA/edit?usp=sharing"",""แผน!ET45"")"),6700)</f>
        <v>6700</v>
      </c>
      <c r="J378" s="892">
        <f ca="1">IFERROR(__xludf.DUMMYFUNCTION("IMPORTRANGE(""https://docs.google.com/spreadsheets/d/1XWAQStnk-4SwqDmLtmXYiTMKHgktTP8We1SCoS47DrQ/edit?usp=sharing"",""จัดที่ดิน!AI45"")"),3067.29)</f>
        <v>3067.29</v>
      </c>
      <c r="K378" s="893">
        <f t="shared" ca="1" si="164"/>
        <v>45.780447761194033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IFERROR(__xludf.DUMMYFUNCTION("IMPORTRANGE(""https://docs.google.com/spreadsheets/d/1QqKyyYR6Q21VydFLVH3TRQUabQu_ym0Zz7PgGX0-kHA/edit?usp=sharing"",""แผน!EU45"")"),1520)</f>
        <v>1520</v>
      </c>
      <c r="J379" s="892">
        <f ca="1">IFERROR(__xludf.DUMMYFUNCTION("IMPORTRANGE(""https://docs.google.com/spreadsheets/d/1XWAQStnk-4SwqDmLtmXYiTMKHgktTP8We1SCoS47DrQ/edit?usp=sharing"",""จัดที่ดิน!AJ45"")"),674)</f>
        <v>674</v>
      </c>
      <c r="K379" s="893">
        <f t="shared" ca="1" si="164"/>
        <v>44.342105263157897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IFERROR(__xludf.DUMMYFUNCTION("IMPORTRANGE(""https://docs.google.com/spreadsheets/d/1XWAQStnk-4SwqDmLtmXYiTMKHgktTP8We1SCoS47DrQ/edit?usp=sharing"",""จัดที่ดิน!AK45"")"),5819.2)</f>
        <v>5819.2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IFERROR(__xludf.DUMMYFUNCTION("IMPORTRANGE(""https://docs.google.com/spreadsheets/d/1QqKyyYR6Q21VydFLVH3TRQUabQu_ym0Zz7PgGX0-kHA/edit?usp=sharing"",""แผน!EU45"")"),1520)</f>
        <v>1520</v>
      </c>
      <c r="J381" s="892">
        <f ca="1">IFERROR(__xludf.DUMMYFUNCTION("IMPORTRANGE(""https://docs.google.com/spreadsheets/d/1XWAQStnk-4SwqDmLtmXYiTMKHgktTP8We1SCoS47DrQ/edit?usp=sharing"",""จัดที่ดิน!AL45"")"),164)</f>
        <v>164</v>
      </c>
      <c r="K381" s="893">
        <f t="shared" ca="1" si="164"/>
        <v>10.789473684210526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IFERROR(__xludf.DUMMYFUNCTION("IMPORTRANGE(""https://docs.google.com/spreadsheets/d/1XWAQStnk-4SwqDmLtmXYiTMKHgktTP8We1SCoS47DrQ/edit?usp=sharing"",""จัดที่ดิน!AM45"")"),1784.53)</f>
        <v>1784.53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IFERROR(__xludf.DUMMYFUNCTION("IMPORTRANGE(""https://docs.google.com/spreadsheets/d/1QqKyyYR6Q21VydFLVH3TRQUabQu_ym0Zz7PgGX0-kHA/edit?usp=sharing"",""แผน!EW45"")"),150)</f>
        <v>150</v>
      </c>
      <c r="J385" s="1149">
        <f ca="1">IFERROR(__xludf.DUMMYFUNCTION("IMPORTRANGE(""https://docs.google.com/spreadsheets/d/1XWAQStnk-4SwqDmLtmXYiTMKHgktTP8We1SCoS47DrQ/edit?usp=sharing"",""จัดที่ดิน!AP45"")"),74)</f>
        <v>74</v>
      </c>
      <c r="K385" s="1251">
        <f ca="1">IF(I385&gt;0,J385*100/I385,0)</f>
        <v>49.333333333333336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IFERROR(__xludf.DUMMYFUNCTION("IMPORTRANGE(""https://docs.google.com/spreadsheets/d/1MeEWN-I1oV_STSDYn1IFDPWt_1FKiwhDph83XaGc0o0/edit?usp=sharing"",""งบพรบ!FG45"")"),0)</f>
        <v>0</v>
      </c>
      <c r="M394" s="899">
        <f ca="1">IFERROR(__xludf.DUMMYFUNCTION("IMPORTRANGE(""https://docs.google.com/spreadsheets/d/1MeEWN-I1oV_STSDYn1IFDPWt_1FKiwhDph83XaGc0o0/edit?usp=sharing"",""งบพรบ!FL45"")"),0)</f>
        <v>0</v>
      </c>
      <c r="N394" s="899">
        <f ca="1">IFERROR(__xludf.DUMMYFUNCTION("IMPORTRANGE(""https://docs.google.com/spreadsheets/d/1MeEWN-I1oV_STSDYn1IFDPWt_1FKiwhDph83XaGc0o0/edit?usp=sharing"",""งบพรบ!FN45"")"),0)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IFERROR(__xludf.DUMMYFUNCTION("IMPORTRANGE(""https://docs.google.com/spreadsheets/d/1MeEWN-I1oV_STSDYn1IFDPWt_1FKiwhDph83XaGc0o0/edit?usp=sharing"",""งบพรบ!FJ45"")"),0)</f>
        <v>0</v>
      </c>
      <c r="M397" s="899">
        <f ca="1">IFERROR(__xludf.DUMMYFUNCTION("IMPORTRANGE(""https://docs.google.com/spreadsheets/d/1MeEWN-I1oV_STSDYn1IFDPWt_1FKiwhDph83XaGc0o0/edit?usp=sharing"",""งบพรบ!FM45"")"),0)</f>
        <v>0</v>
      </c>
      <c r="N397" s="899">
        <f ca="1">IFERROR(__xludf.DUMMYFUNCTION("IMPORTRANGE(""https://docs.google.com/spreadsheets/d/1MeEWN-I1oV_STSDYn1IFDPWt_1FKiwhDph83XaGc0o0/edit?usp=sharing"",""งบพรบ!FO45"")"),0)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IFERROR(__xludf.DUMMYFUNCTION("IMPORTRANGE(""https://docs.google.com/spreadsheets/d/1MeEWN-I1oV_STSDYn1IFDPWt_1FKiwhDph83XaGc0o0/edit?usp=sharing"",""งบพรบ!FQ45"")"),0)</f>
        <v>0</v>
      </c>
      <c r="M407" s="899">
        <f ca="1">IFERROR(__xludf.DUMMYFUNCTION("IMPORTRANGE(""https://docs.google.com/spreadsheets/d/1MeEWN-I1oV_STSDYn1IFDPWt_1FKiwhDph83XaGc0o0/edit?usp=sharing"",""งบพรบ!FV45"")"),0)</f>
        <v>0</v>
      </c>
      <c r="N407" s="899">
        <f ca="1">IFERROR(__xludf.DUMMYFUNCTION("IMPORTRANGE(""https://docs.google.com/spreadsheets/d/1MeEWN-I1oV_STSDYn1IFDPWt_1FKiwhDph83XaGc0o0/edit?usp=sharing"",""งบพรบ!FX45"")"),0)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IFERROR(__xludf.DUMMYFUNCTION("IMPORTRANGE(""https://docs.google.com/spreadsheets/d/1MeEWN-I1oV_STSDYn1IFDPWt_1FKiwhDph83XaGc0o0/edit?usp=sharing"",""งบพรบ!FT45"")"),0)</f>
        <v>0</v>
      </c>
      <c r="M410" s="899">
        <f ca="1">IFERROR(__xludf.DUMMYFUNCTION("IMPORTRANGE(""https://docs.google.com/spreadsheets/d/1MeEWN-I1oV_STSDYn1IFDPWt_1FKiwhDph83XaGc0o0/edit?usp=sharing"",""งบพรบ!FW45"")"),0)</f>
        <v>0</v>
      </c>
      <c r="N410" s="899">
        <f ca="1">IFERROR(__xludf.DUMMYFUNCTION("IMPORTRANGE(""https://docs.google.com/spreadsheets/d/1MeEWN-I1oV_STSDYn1IFDPWt_1FKiwhDph83XaGc0o0/edit?usp=sharing"",""งบพรบ!FY45"")"),0)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2822655</v>
      </c>
      <c r="M414" s="1293">
        <f t="shared" ca="1" si="181"/>
        <v>2820650</v>
      </c>
      <c r="N414" s="1293">
        <f t="shared" si="181"/>
        <v>1029767.9</v>
      </c>
      <c r="O414" s="1293">
        <f ca="1">IF(L414&gt;0,N414*100/L414,0)</f>
        <v>36.482244553443479</v>
      </c>
      <c r="P414" s="1293">
        <f ca="1">IF(M414&gt;0,N414*100/M414,0)</f>
        <v>36.508177193200147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103360</v>
      </c>
      <c r="M419" s="1004">
        <f t="shared" ca="1" si="184"/>
        <v>101355</v>
      </c>
      <c r="N419" s="1004">
        <f t="shared" si="184"/>
        <v>72875</v>
      </c>
      <c r="O419" s="1004">
        <f t="shared" ref="O419:O424" ca="1" si="185">IF(L419&gt;0,N419*100/L419,0)</f>
        <v>70.505998452012378</v>
      </c>
      <c r="P419" s="1004">
        <f t="shared" ref="P419:P424" ca="1" si="186">IF(M419&gt;0,N419*100/M419,0)</f>
        <v>71.900744906516692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103360</v>
      </c>
      <c r="M421" s="899">
        <f t="shared" ca="1" si="187"/>
        <v>101355</v>
      </c>
      <c r="N421" s="899">
        <f t="shared" si="187"/>
        <v>72875</v>
      </c>
      <c r="O421" s="899">
        <f t="shared" ca="1" si="185"/>
        <v>70.505998452012378</v>
      </c>
      <c r="P421" s="899">
        <f t="shared" ca="1" si="186"/>
        <v>71.900744906516692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103360</v>
      </c>
      <c r="M422" s="893">
        <f t="shared" ca="1" si="188"/>
        <v>101355</v>
      </c>
      <c r="N422" s="893">
        <f t="shared" si="188"/>
        <v>72875</v>
      </c>
      <c r="O422" s="893">
        <f t="shared" ca="1" si="185"/>
        <v>70.505998452012378</v>
      </c>
      <c r="P422" s="893">
        <f t="shared" ca="1" si="186"/>
        <v>71.900744906516692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IFERROR(__xludf.DUMMYFUNCTION("IMPORTRANGE(""https://docs.google.com/spreadsheets/d/1QqKyyYR6Q21VydFLVH3TRQUabQu_ym0Zz7PgGX0-kHA/edit?usp=sharing"",""แผน!EY45"")"),103360)</f>
        <v>103360</v>
      </c>
      <c r="M424" s="899">
        <f ca="1">L424-2005</f>
        <v>101355</v>
      </c>
      <c r="N424" s="899">
        <f>N425+N426+N427+N428</f>
        <v>72875</v>
      </c>
      <c r="O424" s="899">
        <f t="shared" ca="1" si="185"/>
        <v>70.505998452012378</v>
      </c>
      <c r="P424" s="899">
        <f t="shared" ca="1" si="186"/>
        <v>71.900744906516692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39050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33825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IFERROR(__xludf.DUMMYFUNCTION("IMPORTRANGE(""https://docs.google.com/spreadsheets/d/1QqKyyYR6Q21VydFLVH3TRQUabQu_ym0Zz7PgGX0-kHA/edit?usp=sharing"",""แผน!FB45"")"),0)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IFERROR(__xludf.DUMMYFUNCTION("IMPORTRANGE(""https://docs.google.com/spreadsheets/d/1QqKyyYR6Q21VydFLVH3TRQUabQu_ym0Zz7PgGX0-kHA/edit?usp=sharing"",""แผน!FE45"")"),0)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IFERROR(__xludf.DUMMYFUNCTION("IMPORTRANGE(""https://docs.google.com/spreadsheets/d/1QqKyyYR6Q21VydFLVH3TRQUabQu_ym0Zz7PgGX0-kHA/edit?usp=sharing"",""แผน!FG45"")"),1)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IFERROR(__xludf.DUMMYFUNCTION("IMPORTRANGE(""https://docs.google.com/spreadsheets/d/1QqKyyYR6Q21VydFLVH3TRQUabQu_ym0Zz7PgGX0-kHA/edit?usp=sharing"",""แผน!FH45"")"),0)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70</v>
      </c>
      <c r="J442" s="1322">
        <f t="shared" si="195"/>
        <v>70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180</v>
      </c>
      <c r="J443" s="1306">
        <f t="shared" si="196"/>
        <v>180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468800</v>
      </c>
      <c r="M444" s="1032">
        <f t="shared" ca="1" si="197"/>
        <v>468800</v>
      </c>
      <c r="N444" s="1032">
        <f t="shared" si="197"/>
        <v>192928</v>
      </c>
      <c r="O444" s="1032">
        <f t="shared" ref="O444:O449" ca="1" si="198">IF(L444&gt;0,N444*100/L444,0)</f>
        <v>41.153583617747444</v>
      </c>
      <c r="P444" s="1032">
        <f t="shared" ref="P444:P449" ca="1" si="199">IF(M444&gt;0,N444*100/M444,0)</f>
        <v>41.153583617747444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468800</v>
      </c>
      <c r="M446" s="899">
        <f t="shared" ca="1" si="200"/>
        <v>468800</v>
      </c>
      <c r="N446" s="899">
        <f t="shared" si="200"/>
        <v>192928</v>
      </c>
      <c r="O446" s="899">
        <f t="shared" ca="1" si="198"/>
        <v>41.153583617747444</v>
      </c>
      <c r="P446" s="899">
        <f t="shared" ca="1" si="199"/>
        <v>41.153583617747444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468800</v>
      </c>
      <c r="M447" s="893">
        <f t="shared" ca="1" si="201"/>
        <v>468800</v>
      </c>
      <c r="N447" s="893">
        <f t="shared" si="201"/>
        <v>192928</v>
      </c>
      <c r="O447" s="893">
        <f t="shared" ca="1" si="198"/>
        <v>41.153583617747444</v>
      </c>
      <c r="P447" s="893">
        <f t="shared" ca="1" si="199"/>
        <v>41.153583617747444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IFERROR(__xludf.DUMMYFUNCTION("IMPORTRANGE(""https://docs.google.com/spreadsheets/d/1QqKyyYR6Q21VydFLVH3TRQUabQu_ym0Zz7PgGX0-kHA/edit?usp=sharing"",""แผน!FJ45"")"),468800)</f>
        <v>468800</v>
      </c>
      <c r="M449" s="899">
        <f ca="1">L449</f>
        <v>468800</v>
      </c>
      <c r="N449" s="899">
        <f>N450+N451+N452+N453</f>
        <v>192928</v>
      </c>
      <c r="O449" s="899">
        <f t="shared" ca="1" si="198"/>
        <v>41.153583617747444</v>
      </c>
      <c r="P449" s="899">
        <f t="shared" ca="1" si="199"/>
        <v>41.153583617747444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91600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36328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IFERROR(__xludf.DUMMYFUNCTION("IMPORTRANGE(""https://docs.google.com/spreadsheets/d/1QqKyyYR6Q21VydFLVH3TRQUabQu_ym0Zz7PgGX0-kHA/edit?usp=sharing"",""แผน!FM45"")"),0)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IFERROR(__xludf.DUMMYFUNCTION("IMPORTRANGE(""https://docs.google.com/spreadsheets/d/1QqKyyYR6Q21VydFLVH3TRQUabQu_ym0Zz7PgGX0-kHA/edit?usp=sharing"",""แผน!FN45"")"),70)</f>
        <v>70</v>
      </c>
      <c r="J460" s="1024">
        <v>70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IFERROR(__xludf.DUMMYFUNCTION("IMPORTRANGE(""https://docs.google.com/spreadsheets/d/1QqKyyYR6Q21VydFLVH3TRQUabQu_ym0Zz7PgGX0-kHA/edit?usp=sharing"",""แผน!FO45"")"),180)</f>
        <v>180</v>
      </c>
      <c r="J462" s="1024">
        <v>180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IFERROR(__xludf.DUMMYFUNCTION("IMPORTRANGE(""https://docs.google.com/spreadsheets/d/1QqKyyYR6Q21VydFLVH3TRQUabQu_ym0Zz7PgGX0-kHA/edit?usp=sharing"",""แผน!FO45"")"),180)</f>
        <v>180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IFERROR(__xludf.DUMMYFUNCTION("IMPORTRANGE(""https://docs.google.com/spreadsheets/d/1QqKyyYR6Q21VydFLVH3TRQUabQu_ym0Zz7PgGX0-kHA/edit?usp=sharing"",""แผน!FN45"")"),70)</f>
        <v>70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IFERROR(__xludf.DUMMYFUNCTION("IMPORTRANGE(""https://docs.google.com/spreadsheets/d/1QqKyyYR6Q21VydFLVH3TRQUabQu_ym0Zz7PgGX0-kHA/edit?usp=sharing"",""แผน!FX45"")"),61)</f>
        <v>61</v>
      </c>
      <c r="J465" s="1322">
        <f>J485+J489+J492</f>
        <v>61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IFERROR(__xludf.DUMMYFUNCTION("IMPORTRANGE(""https://docs.google.com/spreadsheets/d/1QqKyyYR6Q21VydFLVH3TRQUabQu_ym0Zz7PgGX0-kHA/edit?usp=sharing"",""แผน!FW45"")"),600)</f>
        <v>600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492543</v>
      </c>
      <c r="M467" s="1032">
        <f t="shared" ca="1" si="206"/>
        <v>492543</v>
      </c>
      <c r="N467" s="1032">
        <f t="shared" si="206"/>
        <v>68520</v>
      </c>
      <c r="O467" s="1032">
        <f t="shared" ref="O467:O472" ca="1" si="207">IF(L467&gt;0,N467*100/L467,0)</f>
        <v>13.91147574932544</v>
      </c>
      <c r="P467" s="1032">
        <f t="shared" ref="P467:P472" ca="1" si="208">IF(M467&gt;0,N467*100/M467,0)</f>
        <v>13.91147574932544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492543</v>
      </c>
      <c r="M469" s="899">
        <f t="shared" ca="1" si="209"/>
        <v>492543</v>
      </c>
      <c r="N469" s="899">
        <f t="shared" si="209"/>
        <v>68520</v>
      </c>
      <c r="O469" s="899">
        <f t="shared" ca="1" si="207"/>
        <v>13.91147574932544</v>
      </c>
      <c r="P469" s="899">
        <f t="shared" ca="1" si="208"/>
        <v>13.91147574932544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492543</v>
      </c>
      <c r="M470" s="893">
        <f t="shared" ca="1" si="210"/>
        <v>492543</v>
      </c>
      <c r="N470" s="893">
        <f t="shared" si="210"/>
        <v>68520</v>
      </c>
      <c r="O470" s="893">
        <f t="shared" ca="1" si="207"/>
        <v>13.91147574932544</v>
      </c>
      <c r="P470" s="893">
        <f t="shared" ca="1" si="208"/>
        <v>13.91147574932544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IFERROR(__xludf.DUMMYFUNCTION("IMPORTRANGE(""https://docs.google.com/spreadsheets/d/1QqKyyYR6Q21VydFLVH3TRQUabQu_ym0Zz7PgGX0-kHA/edit?usp=sharing"",""แผน!FS45"")"),492543)</f>
        <v>492543</v>
      </c>
      <c r="M472" s="899">
        <f ca="1">L472</f>
        <v>492543</v>
      </c>
      <c r="N472" s="899">
        <f>N473+N474+N475+N476</f>
        <v>68520</v>
      </c>
      <c r="O472" s="899">
        <f t="shared" ca="1" si="207"/>
        <v>13.91147574932544</v>
      </c>
      <c r="P472" s="899">
        <f t="shared" ca="1" si="208"/>
        <v>13.91147574932544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35190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33330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IFERROR(__xludf.DUMMYFUNCTION("IMPORTRANGE(""https://docs.google.com/spreadsheets/d/1QqKyyYR6Q21VydFLVH3TRQUabQu_ym0Zz7PgGX0-kHA/edit?usp=sharing"",""แผน!FV45"")"),0)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IFERROR(__xludf.DUMMYFUNCTION("IMPORTRANGE(""https://docs.google.com/spreadsheets/d/1QqKyyYR6Q21VydFLVH3TRQUabQu_ym0Zz7PgGX0-kHA/edit?usp=sharing"",""แผน!FY45"")"),540)</f>
        <v>540</v>
      </c>
      <c r="J483" s="1024">
        <v>540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IFERROR(__xludf.DUMMYFUNCTION("IMPORTRANGE(""https://docs.google.com/spreadsheets/d/1QqKyyYR6Q21VydFLVH3TRQUabQu_ym0Zz7PgGX0-kHA/edit?usp=sharing"",""แผน!FZ45"")"),54)</f>
        <v>54</v>
      </c>
      <c r="J485" s="1024">
        <v>54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IFERROR(__xludf.DUMMYFUNCTION("IMPORTRANGE(""https://docs.google.com/spreadsheets/d/1QqKyyYR6Q21VydFLVH3TRQUabQu_ym0Zz7PgGX0-kHA/edit?usp=sharing"",""แผน!GA45"")"),60)</f>
        <v>60</v>
      </c>
      <c r="J487" s="1024">
        <v>60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IFERROR(__xludf.DUMMYFUNCTION("IMPORTRANGE(""https://docs.google.com/spreadsheets/d/1QqKyyYR6Q21VydFLVH3TRQUabQu_ym0Zz7PgGX0-kHA/edit?usp=sharing"",""แผน!GB45"")"),6)</f>
        <v>6</v>
      </c>
      <c r="J489" s="1024">
        <v>6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IFERROR(__xludf.DUMMYFUNCTION("IMPORTRANGE(""https://docs.google.com/spreadsheets/d/1QqKyyYR6Q21VydFLVH3TRQUabQu_ym0Zz7PgGX0-kHA/edit?usp=sharing"",""แผน!GC45"")"),1)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IFERROR(__xludf.DUMMYFUNCTION("IMPORTRANGE(""https://docs.google.com/spreadsheets/d/1QqKyyYR6Q21VydFLVH3TRQUabQu_ym0Zz7PgGX0-kHA/edit?usp=sharing"",""แผน!FY45"")"),540)</f>
        <v>540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IFERROR(__xludf.DUMMYFUNCTION("IMPORTRANGE(""https://docs.google.com/spreadsheets/d/1QqKyyYR6Q21VydFLVH3TRQUabQu_ym0Zz7PgGX0-kHA/edit?usp=sharing"",""แผน!GA45"")"),60)</f>
        <v>60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IFERROR(__xludf.DUMMYFUNCTION("IMPORTRANGE(""https://docs.google.com/spreadsheets/d/1QqKyyYR6Q21VydFLVH3TRQUabQu_ym0Zz7PgGX0-kHA/edit?usp=sharing"",""แผน!GQ45"")"),0)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IFERROR(__xludf.DUMMYFUNCTION("IMPORTRANGE(""https://docs.google.com/spreadsheets/d/1QqKyyYR6Q21VydFLVH3TRQUabQu_ym0Zz7PgGX0-kHA/edit?usp=sharing"",""แผน!GT45"")"),0)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IFERROR(__xludf.DUMMYFUNCTION("IMPORTRANGE(""https://docs.google.com/spreadsheets/d/1QqKyyYR6Q21VydFLVH3TRQUabQu_ym0Zz7PgGX0-kHA/edit?usp=sharing"",""แผน!GU45"")"),0)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IFERROR(__xludf.DUMMYFUNCTION("IMPORTRANGE(""https://docs.google.com/spreadsheets/d/1QqKyyYR6Q21VydFLVH3TRQUabQu_ym0Zz7PgGX0-kHA/edit?usp=sharing"",""แผน!GV45"")"),0)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IFERROR(__xludf.DUMMYFUNCTION("IMPORTRANGE(""https://docs.google.com/spreadsheets/d/1QqKyyYR6Q21VydFLVH3TRQUabQu_ym0Zz7PgGX0-kHA/edit?usp=sharing"",""แผน!GW45"")"),0)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IFERROR(__xludf.DUMMYFUNCTION("IMPORTRANGE(""https://docs.google.com/spreadsheets/d/1QqKyyYR6Q21VydFLVH3TRQUabQu_ym0Zz7PgGX0-kHA/edit?usp=sharing"",""แผน!GX45"")"),0)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IFERROR(__xludf.DUMMYFUNCTION("IMPORTRANGE(""https://docs.google.com/spreadsheets/d/1QqKyyYR6Q21VydFLVH3TRQUabQu_ym0Zz7PgGX0-kHA/edit?usp=sharing"",""แผน!GY45"")"),0)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IFERROR(__xludf.DUMMYFUNCTION("IMPORTRANGE(""https://docs.google.com/spreadsheets/d/1QqKyyYR6Q21VydFLVH3TRQUabQu_ym0Zz7PgGX0-kHA/edit?usp=sharing"",""แผน!GZ45"")"),0)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59640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402462</v>
      </c>
      <c r="M544" s="1004">
        <f t="shared" ca="1" si="236"/>
        <v>402462</v>
      </c>
      <c r="N544" s="1004">
        <f t="shared" si="236"/>
        <v>219482</v>
      </c>
      <c r="O544" s="1004">
        <f t="shared" ref="O544:O549" ca="1" si="237">IF(L544&gt;0,N544*100/L544,0)</f>
        <v>54.534838071668879</v>
      </c>
      <c r="P544" s="1004">
        <f t="shared" ref="P544:P549" ca="1" si="238">IF(M544&gt;0,N544*100/M544,0)</f>
        <v>54.534838071668879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402462</v>
      </c>
      <c r="M546" s="899">
        <f t="shared" ca="1" si="240"/>
        <v>402462</v>
      </c>
      <c r="N546" s="899">
        <f t="shared" si="240"/>
        <v>219482</v>
      </c>
      <c r="O546" s="899">
        <f t="shared" ca="1" si="237"/>
        <v>54.534838071668879</v>
      </c>
      <c r="P546" s="899">
        <f t="shared" ca="1" si="238"/>
        <v>54.534838071668879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402462</v>
      </c>
      <c r="M547" s="893">
        <f t="shared" ca="1" si="241"/>
        <v>402462</v>
      </c>
      <c r="N547" s="893">
        <f t="shared" si="241"/>
        <v>219482</v>
      </c>
      <c r="O547" s="893">
        <f t="shared" ca="1" si="237"/>
        <v>54.534838071668879</v>
      </c>
      <c r="P547" s="893">
        <f t="shared" ca="1" si="238"/>
        <v>54.534838071668879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IFERROR(__xludf.DUMMYFUNCTION("IMPORTRANGE(""https://docs.google.com/spreadsheets/d/1QqKyyYR6Q21VydFLVH3TRQUabQu_ym0Zz7PgGX0-kHA/edit?usp=sharing"",""แผน!HB45"")"),402462)</f>
        <v>402462</v>
      </c>
      <c r="M549" s="899">
        <f ca="1">L549</f>
        <v>402462</v>
      </c>
      <c r="N549" s="899">
        <f>N550+N551+N552+N553+N554</f>
        <v>219482</v>
      </c>
      <c r="O549" s="899">
        <f t="shared" ca="1" si="237"/>
        <v>54.534838071668879</v>
      </c>
      <c r="P549" s="899">
        <f t="shared" ca="1" si="238"/>
        <v>54.534838071668879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154482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IFERROR(__xludf.DUMMYFUNCTION("IMPORTRANGE(""https://docs.google.com/spreadsheets/d/1QqKyyYR6Q21VydFLVH3TRQUabQu_ym0Zz7PgGX0-kHA/edit?usp=sharing"",""แผน!HF45"")"),0)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59640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IFERROR(__xludf.DUMMYFUNCTION("IMPORTRANGE(""https://docs.google.com/spreadsheets/d/1QqKyyYR6Q21VydFLVH3TRQUabQu_ym0Zz7PgGX0-kHA/edit?usp=sharing"",""แผน!HH45"")"),59640)</f>
        <v>59640</v>
      </c>
      <c r="J560" s="1030">
        <f t="shared" ref="J560:J561" si="247">J562+J564+J566</f>
        <v>59504.29</v>
      </c>
      <c r="K560" s="1174">
        <f t="shared" ca="1" si="246"/>
        <v>99.772451374916159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IFERROR(__xludf.DUMMYFUNCTION("IMPORTRANGE(""https://docs.google.com/spreadsheets/d/1QqKyyYR6Q21VydFLVH3TRQUabQu_ym0Zz7PgGX0-kHA/edit?usp=sharing"",""แผน!HG45"")"),7355)</f>
        <v>7355</v>
      </c>
      <c r="J561" s="1030">
        <f t="shared" si="247"/>
        <v>7338</v>
      </c>
      <c r="K561" s="1174">
        <f t="shared" ca="1" si="246"/>
        <v>99.768864717878998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47179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6298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11083.93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885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1241.3599999999999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155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IFERROR(__xludf.DUMMYFUNCTION("IMPORTRANGE(""https://docs.google.com/spreadsheets/d/1QqKyyYR6Q21VydFLVH3TRQUabQu_ym0Zz7PgGX0-kHA/edit?usp=sharing"",""แผน!HH45"")"),59640)</f>
        <v>59640</v>
      </c>
      <c r="J568" s="1031">
        <f t="shared" ref="J568:J569" si="248">J570+J572+J574</f>
        <v>0</v>
      </c>
      <c r="K568" s="1174">
        <f t="shared" ref="K568:K569" ca="1" si="249">IF(I568&gt;0,J568*100/I568,0)</f>
        <v>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IFERROR(__xludf.DUMMYFUNCTION("IMPORTRANGE(""https://docs.google.com/spreadsheets/d/1QqKyyYR6Q21VydFLVH3TRQUabQu_ym0Zz7PgGX0-kHA/edit?usp=sharing"",""แผน!HG45"")"),7355)</f>
        <v>7355</v>
      </c>
      <c r="J569" s="1031">
        <f t="shared" si="248"/>
        <v>0</v>
      </c>
      <c r="K569" s="1174">
        <f t="shared" ca="1" si="249"/>
        <v>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0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0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0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0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0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0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IFERROR(__xludf.DUMMYFUNCTION("IMPORTRANGE(""https://docs.google.com/spreadsheets/d/1QqKyyYR6Q21VydFLVH3TRQUabQu_ym0Zz7PgGX0-kHA/edit?usp=sharing"",""แผน!HH45"")"),59640)</f>
        <v>59640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IFERROR(__xludf.DUMMYFUNCTION("IMPORTRANGE(""https://docs.google.com/spreadsheets/d/1QqKyyYR6Q21VydFLVH3TRQUabQu_ym0Zz7PgGX0-kHA/edit?usp=sharing"",""แผน!HG45"")"),7355)</f>
        <v>7355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1220.5999999999999</v>
      </c>
      <c r="J592" s="1389">
        <f t="shared" si="253"/>
        <v>632</v>
      </c>
      <c r="K592" s="1390">
        <f t="shared" ref="K592:K594" ca="1" si="254">IF(I592&gt;0,J592*100/I592,0)</f>
        <v>51.777814189742756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IFERROR(__xludf.DUMMYFUNCTION("IMPORTRANGE(""https://docs.google.com/spreadsheets/d/1QqKyyYR6Q21VydFLVH3TRQUabQu_ym0Zz7PgGX0-kHA/edit?usp=sharing"",""แผน!HJ45"")"),1220.6)</f>
        <v>1220.5999999999999</v>
      </c>
      <c r="J593" s="1030">
        <f t="shared" ref="J593:J594" si="255">J595+J603+J609</f>
        <v>632</v>
      </c>
      <c r="K593" s="1174">
        <f t="shared" ca="1" si="254"/>
        <v>51.777814189742756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IFERROR(__xludf.DUMMYFUNCTION("IMPORTRANGE(""https://docs.google.com/spreadsheets/d/1QqKyyYR6Q21VydFLVH3TRQUabQu_ym0Zz7PgGX0-kHA/edit?usp=sharing"",""แผน!HI45"")"),107)</f>
        <v>107</v>
      </c>
      <c r="J594" s="1030">
        <f t="shared" si="255"/>
        <v>59</v>
      </c>
      <c r="K594" s="1174">
        <f t="shared" ca="1" si="254"/>
        <v>55.140186915887853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619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58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619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58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13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1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13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1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IFERROR(__xludf.DUMMYFUNCTION("IMPORTRANGE(""https://docs.google.com/spreadsheets/d/1QqKyyYR6Q21VydFLVH3TRQUabQu_ym0Zz7PgGX0-kHA/edit?usp=sharing"",""แผน!HL45"")"),24)</f>
        <v>24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IFERROR(__xludf.DUMMYFUNCTION("IMPORTRANGE(""https://docs.google.com/spreadsheets/d/1QqKyyYR6Q21VydFLVH3TRQUabQu_ym0Zz7PgGX0-kHA/edit?usp=sharing"",""แผน!HK45"")"),1)</f>
        <v>1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1200</v>
      </c>
      <c r="J628" s="1438">
        <f t="shared" ca="1" si="262"/>
        <v>45</v>
      </c>
      <c r="K628" s="1439">
        <f ca="1">IF(I628&gt;0,J628*100/I628,0)</f>
        <v>3.75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1155630</v>
      </c>
      <c r="M629" s="1032">
        <f t="shared" ca="1" si="263"/>
        <v>1155630</v>
      </c>
      <c r="N629" s="1032">
        <f t="shared" si="263"/>
        <v>306482</v>
      </c>
      <c r="O629" s="1032">
        <f t="shared" ref="O629:O634" ca="1" si="264">IF(L629&gt;0,N629*100/L629,0)</f>
        <v>26.520772219482016</v>
      </c>
      <c r="P629" s="1032">
        <f t="shared" ref="P629:P634" ca="1" si="265">IF(M629&gt;0,N629*100/M629,0)</f>
        <v>26.520772219482016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1155630</v>
      </c>
      <c r="M631" s="899">
        <f t="shared" ca="1" si="266"/>
        <v>1155630</v>
      </c>
      <c r="N631" s="899">
        <f t="shared" si="266"/>
        <v>306482</v>
      </c>
      <c r="O631" s="899">
        <f t="shared" ca="1" si="264"/>
        <v>26.520772219482016</v>
      </c>
      <c r="P631" s="899">
        <f t="shared" ca="1" si="265"/>
        <v>26.520772219482016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1155630</v>
      </c>
      <c r="M632" s="893">
        <f t="shared" ca="1" si="267"/>
        <v>1155630</v>
      </c>
      <c r="N632" s="893">
        <f t="shared" si="267"/>
        <v>306482</v>
      </c>
      <c r="O632" s="893">
        <f t="shared" ca="1" si="264"/>
        <v>26.520772219482016</v>
      </c>
      <c r="P632" s="893">
        <f t="shared" ca="1" si="265"/>
        <v>26.520772219482016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IFERROR(__xludf.DUMMYFUNCTION("IMPORTRANGE(""https://docs.google.com/spreadsheets/d/1QqKyyYR6Q21VydFLVH3TRQUabQu_ym0Zz7PgGX0-kHA/edit?usp=sharing"",""แผน!HN45"")"),1155630)</f>
        <v>1155630</v>
      </c>
      <c r="M634" s="899">
        <f ca="1">L634</f>
        <v>1155630</v>
      </c>
      <c r="N634" s="899">
        <f>N635+N636+N637+N638</f>
        <v>306482</v>
      </c>
      <c r="O634" s="899">
        <f t="shared" ca="1" si="264"/>
        <v>26.520772219482016</v>
      </c>
      <c r="P634" s="899">
        <f t="shared" ca="1" si="265"/>
        <v>26.520772219482016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130000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176482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IFERROR(__xludf.DUMMYFUNCTION("IMPORTRANGE(""https://docs.google.com/spreadsheets/d/1QqKyyYR6Q21VydFLVH3TRQUabQu_ym0Zz7PgGX0-kHA/edit?usp=sharing"",""แผน!HQ45"")"),0)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IFERROR(__xludf.DUMMYFUNCTION("IMPORTRANGE(""https://docs.google.com/spreadsheets/d/1QqKyyYR6Q21VydFLVH3TRQUabQu_ym0Zz7PgGX0-kHA/edit?usp=sharing"",""แผน!HR45"")"),0)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IFERROR(__xludf.DUMMYFUNCTION("IMPORTRANGE(""https://docs.google.com/spreadsheets/d/1QqKyyYR6Q21VydFLVH3TRQUabQu_ym0Zz7PgGX0-kHA/edit?usp=sharing"",""แผน!HR45"")"),0)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IFERROR(__xludf.DUMMYFUNCTION("IMPORTRANGE(""https://docs.google.com/spreadsheets/d/1XWAQStnk-4SwqDmLtmXYiTMKHgktTP8We1SCoS47DrQ/edit?usp=sharing"",""จัดที่ดิน!AS45"")"),852)</f>
        <v>852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IFERROR(__xludf.DUMMYFUNCTION("IMPORTRANGE(""https://docs.google.com/spreadsheets/d/1XWAQStnk-4SwqDmLtmXYiTMKHgktTP8We1SCoS47DrQ/edit?usp=sharing"",""จัดที่ดิน!AT45"")"),397.82)</f>
        <v>397.82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IFERROR(__xludf.DUMMYFUNCTION("IMPORTRANGE(""https://docs.google.com/spreadsheets/d/1QqKyyYR6Q21VydFLVH3TRQUabQu_ym0Zz7PgGX0-kHA/edit?usp=sharing"",""แผน!HS45"")"),1200)</f>
        <v>1200</v>
      </c>
      <c r="J647" s="892">
        <f ca="1">IFERROR(__xludf.DUMMYFUNCTION("IMPORTRANGE(""https://docs.google.com/spreadsheets/d/1XWAQStnk-4SwqDmLtmXYiTMKHgktTP8We1SCoS47DrQ/edit?usp=sharing"",""จัดที่ดิน!AU45"")"),528)</f>
        <v>528</v>
      </c>
      <c r="K647" s="1010">
        <f t="shared" ca="1" si="271"/>
        <v>44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IFERROR(__xludf.DUMMYFUNCTION("IMPORTRANGE(""https://docs.google.com/spreadsheets/d/1XWAQStnk-4SwqDmLtmXYiTMKHgktTP8We1SCoS47DrQ/edit?usp=sharing"",""จัดที่ดิน!AV45"")"),251.19)</f>
        <v>251.19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IFERROR(__xludf.DUMMYFUNCTION("IMPORTRANGE(""https://docs.google.com/spreadsheets/d/1QqKyyYR6Q21VydFLVH3TRQUabQu_ym0Zz7PgGX0-kHA/edit?usp=sharing"",""แผน!HS45"")"),1200)</f>
        <v>1200</v>
      </c>
      <c r="J649" s="892">
        <f ca="1">IFERROR(__xludf.DUMMYFUNCTION("IMPORTRANGE(""https://docs.google.com/spreadsheets/d/1XWAQStnk-4SwqDmLtmXYiTMKHgktTP8We1SCoS47DrQ/edit?usp=sharing"",""จัดที่ดิน!AW45"")"),431)</f>
        <v>431</v>
      </c>
      <c r="K649" s="1010">
        <f t="shared" ca="1" si="271"/>
        <v>35.916666666666664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IFERROR(__xludf.DUMMYFUNCTION("IMPORTRANGE(""https://docs.google.com/spreadsheets/d/1XWAQStnk-4SwqDmLtmXYiTMKHgktTP8We1SCoS47DrQ/edit?usp=sharing"",""จัดที่ดิน!AX45"")"),217.88)</f>
        <v>217.88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IFERROR(__xludf.DUMMYFUNCTION("IMPORTRANGE(""https://docs.google.com/spreadsheets/d/1QqKyyYR6Q21VydFLVH3TRQUabQu_ym0Zz7PgGX0-kHA/edit?usp=sharing"",""แผน!HS45"")"),1200)</f>
        <v>1200</v>
      </c>
      <c r="J651" s="892">
        <f ca="1">IFERROR(__xludf.DUMMYFUNCTION("IMPORTRANGE(""https://docs.google.com/spreadsheets/d/1XWAQStnk-4SwqDmLtmXYiTMKHgktTP8We1SCoS47DrQ/edit?usp=sharing"",""จัดที่ดิน!AY45"")"),45)</f>
        <v>45</v>
      </c>
      <c r="K651" s="1010">
        <f t="shared" ca="1" si="271"/>
        <v>3.75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IFERROR(__xludf.DUMMYFUNCTION("IMPORTRANGE(""https://docs.google.com/spreadsheets/d/1XWAQStnk-4SwqDmLtmXYiTMKHgktTP8We1SCoS47DrQ/edit?usp=sharing"",""จัดที่ดิน!AZ45"")"),24.075)</f>
        <v>24.074999999999999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IFERROR(__xludf.DUMMYFUNCTION("IMPORTRANGE(""https://docs.google.com/spreadsheets/d/1QqKyyYR6Q21VydFLVH3TRQUabQu_ym0Zz7PgGX0-kHA/edit?usp=sharing"",""แผน!HV45"")"),0)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IFERROR(__xludf.DUMMYFUNCTION("IMPORTRANGE(""https://docs.google.com/spreadsheets/d/1QqKyyYR6Q21VydFLVH3TRQUabQu_ym0Zz7PgGX0-kHA/edit?usp=sharing"",""แผน!IA45"")"),0)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IFERROR(__xludf.DUMMYFUNCTION("IMPORTRANGE(""https://docs.google.com/spreadsheets/d/1QqKyyYR6Q21VydFLVH3TRQUabQu_ym0Zz7PgGX0-kHA/edit?usp=sharing"",""แผน!HZ45"")"),0)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IFERROR(__xludf.DUMMYFUNCTION("IMPORTRANGE(""https://docs.google.com/spreadsheets/d/1QqKyyYR6Q21VydFLVH3TRQUabQu_ym0Zz7PgGX0-kHA/edit?usp=sharing"",""แผน!HZ45"")"),0)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IFERROR(__xludf.DUMMYFUNCTION("IMPORTRANGE(""https://docs.google.com/spreadsheets/d/1QqKyyYR6Q21VydFLVH3TRQUabQu_ym0Zz7PgGX0-kHA/edit?usp=sharing"",""แผน!IB45"")"),0)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1940</v>
      </c>
      <c r="M685" s="1032">
        <f t="shared" ca="1" si="282"/>
        <v>1940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1940</v>
      </c>
      <c r="M687" s="899">
        <f t="shared" ca="1" si="285"/>
        <v>1940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1940</v>
      </c>
      <c r="M688" s="893">
        <f t="shared" ca="1" si="286"/>
        <v>1940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IFERROR(__xludf.DUMMYFUNCTION("IMPORTRANGE(""https://docs.google.com/spreadsheets/d/1QqKyyYR6Q21VydFLVH3TRQUabQu_ym0Zz7PgGX0-kHA/edit?usp=sharing"",""แผน!HW45"")"),1940)</f>
        <v>1940</v>
      </c>
      <c r="M690" s="899">
        <f ca="1">L690</f>
        <v>1940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IFERROR(__xludf.DUMMYFUNCTION("IMPORTRANGE(""https://docs.google.com/spreadsheets/d/1QqKyyYR6Q21VydFLVH3TRQUabQu_ym0Zz7PgGX0-kHA/edit?usp=sharing"",""แผน!IC45"")"),0)</f>
        <v>0</v>
      </c>
      <c r="J699" s="892">
        <f ca="1">IFERROR(__xludf.DUMMYFUNCTION("IMPORTRANGE(""https://docs.google.com/spreadsheets/d/1XWAQStnk-4SwqDmLtmXYiTMKHgktTP8We1SCoS47DrQ/edit?usp=sharing"",""จัดที่ดิน!BB45"")"),0)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IFERROR(__xludf.DUMMYFUNCTION("IMPORTRANGE(""https://docs.google.com/spreadsheets/d/1QqKyyYR6Q21VydFLVH3TRQUabQu_ym0Zz7PgGX0-kHA/edit?usp=sharing"",""แผน!ID45"")"),0)</f>
        <v>0</v>
      </c>
      <c r="J700" s="892">
        <f ca="1">IFERROR(__xludf.DUMMYFUNCTION("IMPORTRANGE(""https://docs.google.com/spreadsheets/d/1XWAQStnk-4SwqDmLtmXYiTMKHgktTP8We1SCoS47DrQ/edit?usp=sharing"",""จัดที่ดิน!BD45"")"),0)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IFERROR(__xludf.DUMMYFUNCTION("IMPORTRANGE(""https://docs.google.com/spreadsheets/d/1QqKyyYR6Q21VydFLVH3TRQUabQu_ym0Zz7PgGX0-kHA/edit?usp=sharing"",""แผน!IE45"")"),47)</f>
        <v>47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IFERROR(__xludf.DUMMYFUNCTION("IMPORTRANGE(""https://docs.google.com/spreadsheets/d/1QqKyyYR6Q21VydFLVH3TRQUabQu_ym0Zz7PgGX0-kHA/edit?usp=sharing"",""แผน!IF45"")"),0)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IFERROR(__xludf.DUMMYFUNCTION("IMPORTRANGE(""https://docs.google.com/spreadsheets/d/1QqKyyYR6Q21VydFLVH3TRQUabQu_ym0Zz7PgGX0-kHA/edit?usp=sharing"",""แผน!IG45"")"),47)</f>
        <v>47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IFERROR(__xludf.DUMMYFUNCTION("IMPORTRANGE(""https://docs.google.com/spreadsheets/d/1QqKyyYR6Q21VydFLVH3TRQUabQu_ym0Zz7PgGX0-kHA/edit?usp=sharing"",""แผน!IH45"")"),0)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IFERROR(__xludf.DUMMYFUNCTION("IMPORTRANGE(""https://docs.google.com/spreadsheets/d/1XWAQStnk-4SwqDmLtmXYiTMKHgktTP8We1SCoS47DrQ/edit?usp=sharing"",""จัดที่ดิน!BF45"")"),0)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IFERROR(__xludf.DUMMYFUNCTION("IMPORTRANGE(""https://docs.google.com/spreadsheets/d/1XWAQStnk-4SwqDmLtmXYiTMKHgktTP8We1SCoS47DrQ/edit?usp=sharing"",""จัดที่ดิน!BG45"")"),0)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IFERROR(__xludf.DUMMYFUNCTION("IMPORTRANGE(""https://docs.google.com/spreadsheets/d/1QqKyyYR6Q21VydFLVH3TRQUabQu_ym0Zz7PgGX0-kHA/edit?usp=sharing"",""แผน!II45"")"),0)</f>
        <v>0</v>
      </c>
      <c r="J720" s="892">
        <f ca="1">IFERROR(__xludf.DUMMYFUNCTION("IMPORTRANGE(""https://docs.google.com/spreadsheets/d/1XWAQStnk-4SwqDmLtmXYiTMKHgktTP8We1SCoS47DrQ/edit?usp=sharing"",""จัดที่ดิน!BH45"")"),0)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IFERROR(__xludf.DUMMYFUNCTION("IMPORTRANGE(""https://docs.google.com/spreadsheets/d/1QqKyyYR6Q21VydFLVH3TRQUabQu_ym0Zz7PgGX0-kHA/edit?usp=sharing"",""แผน!IJ45"")"),0)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IFERROR(__xludf.DUMMYFUNCTION("IMPORTRANGE(""https://docs.google.com/spreadsheets/d/1QqKyyYR6Q21VydFLVH3TRQUabQu_ym0Zz7PgGX0-kHA/edit?usp=sharing"",""แผน!IK45"")"),0)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IFERROR(__xludf.DUMMYFUNCTION("IMPORTRANGE(""https://docs.google.com/spreadsheets/d/1QqKyyYR6Q21VydFLVH3TRQUabQu_ym0Zz7PgGX0-kHA/edit?usp=sharing"",""แผน!IL45"")"),0)</f>
        <v>0</v>
      </c>
      <c r="J723" s="892">
        <f ca="1">IFERROR(__xludf.DUMMYFUNCTION("IMPORTRANGE(""https://docs.google.com/spreadsheets/d/1XWAQStnk-4SwqDmLtmXYiTMKHgktTP8We1SCoS47DrQ/edit?usp=sharing"",""จัดที่ดิน!BM45"")"),0)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IFERROR(__xludf.DUMMYFUNCTION("IMPORTRANGE(""https://docs.google.com/spreadsheets/d/1XWAQStnk-4SwqDmLtmXYiTMKHgktTP8We1SCoS47DrQ/edit?usp=sharing"",""จัดที่ดิน!BN45"")"),0)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IFERROR(__xludf.DUMMYFUNCTION("IMPORTRANGE(""https://docs.google.com/spreadsheets/d/1QqKyyYR6Q21VydFLVH3TRQUabQu_ym0Zz7PgGX0-kHA/edit?usp=sharing"",""แผน!IM45"")"),0)</f>
        <v>0</v>
      </c>
      <c r="J725" s="892">
        <f ca="1">IFERROR(__xludf.DUMMYFUNCTION("IMPORTRANGE(""https://docs.google.com/spreadsheets/d/1XWAQStnk-4SwqDmLtmXYiTMKHgktTP8We1SCoS47DrQ/edit?usp=sharing"",""จัดที่ดิน!BO45"")"),0)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IFERROR(__xludf.DUMMYFUNCTION("IMPORTRANGE(""https://docs.google.com/spreadsheets/d/1QqKyyYR6Q21VydFLVH3TRQUabQu_ym0Zz7PgGX0-kHA/edit?usp=sharing"",""แผน!IN45"")"),0)</f>
        <v>0</v>
      </c>
      <c r="J726" s="892">
        <f ca="1">IFERROR(__xludf.DUMMYFUNCTION("IMPORTRANGE(""https://docs.google.com/spreadsheets/d/1XWAQStnk-4SwqDmLtmXYiTMKHgktTP8We1SCoS47DrQ/edit?usp=sharing"",""จัดที่ดิน!BR45"")"),0)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IFERROR(__xludf.DUMMYFUNCTION("IMPORTRANGE(""https://docs.google.com/spreadsheets/d/1XWAQStnk-4SwqDmLtmXYiTMKHgktTP8We1SCoS47DrQ/edit?usp=sharing"",""จัดที่ดิน!BS45"")"),0)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IFERROR(__xludf.DUMMYFUNCTION("IMPORTRANGE(""https://docs.google.com/spreadsheets/d/1QqKyyYR6Q21VydFLVH3TRQUabQu_ym0Zz7PgGX0-kHA/edit?usp=sharing"",""แผน!IO45"")"),0)</f>
        <v>0</v>
      </c>
      <c r="J728" s="892">
        <f ca="1">IFERROR(__xludf.DUMMYFUNCTION("IMPORTRANGE(""https://docs.google.com/spreadsheets/d/1XWAQStnk-4SwqDmLtmXYiTMKHgktTP8We1SCoS47DrQ/edit?usp=sharing"",""จัดที่ดิน!BT45"")"),0)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IFERROR(__xludf.DUMMYFUNCTION("IMPORTRANGE(""https://docs.google.com/spreadsheets/d/1QqKyyYR6Q21VydFLVH3TRQUabQu_ym0Zz7PgGX0-kHA/edit?usp=sharing"",""แผน!IP45"")"),0)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3000</v>
      </c>
      <c r="J785" s="804">
        <f t="shared" ca="1" si="318"/>
        <v>3768</v>
      </c>
      <c r="K785" s="805">
        <f ca="1">IF(I785&gt;0,J785*100/I785,0)</f>
        <v>125.6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197920</v>
      </c>
      <c r="M786" s="1032">
        <f t="shared" ca="1" si="319"/>
        <v>197920</v>
      </c>
      <c r="N786" s="1032">
        <f t="shared" si="319"/>
        <v>169480.9</v>
      </c>
      <c r="O786" s="1032">
        <f t="shared" ref="O786:O791" ca="1" si="320">IF(L786&gt;0,N786*100/L786,0)</f>
        <v>85.631012530315274</v>
      </c>
      <c r="P786" s="1032">
        <f t="shared" ref="P786:P791" ca="1" si="321">IF(M786&gt;0,N786*100/M786,0)</f>
        <v>85.631012530315274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197920</v>
      </c>
      <c r="M788" s="899">
        <f t="shared" ca="1" si="322"/>
        <v>197920</v>
      </c>
      <c r="N788" s="899">
        <f t="shared" si="322"/>
        <v>169480.9</v>
      </c>
      <c r="O788" s="899">
        <f t="shared" ca="1" si="320"/>
        <v>85.631012530315274</v>
      </c>
      <c r="P788" s="899">
        <f t="shared" ca="1" si="321"/>
        <v>85.631012530315274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197920</v>
      </c>
      <c r="M789" s="893">
        <f t="shared" ca="1" si="323"/>
        <v>197920</v>
      </c>
      <c r="N789" s="893">
        <f t="shared" si="323"/>
        <v>169480.9</v>
      </c>
      <c r="O789" s="893">
        <f t="shared" ca="1" si="320"/>
        <v>85.631012530315274</v>
      </c>
      <c r="P789" s="893">
        <f t="shared" ca="1" si="321"/>
        <v>85.631012530315274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IFERROR(__xludf.DUMMYFUNCTION("IMPORTRANGE(""https://docs.google.com/spreadsheets/d/1QqKyyYR6Q21VydFLVH3TRQUabQu_ym0Zz7PgGX0-kHA/edit?usp=sharing"",""แผน!JJ45"")"),197920)</f>
        <v>197920</v>
      </c>
      <c r="M791" s="899">
        <f ca="1">L791</f>
        <v>197920</v>
      </c>
      <c r="N791" s="899">
        <f>N792+N793+N794+N795</f>
        <v>169480.9</v>
      </c>
      <c r="O791" s="899">
        <f t="shared" ca="1" si="320"/>
        <v>85.631012530315274</v>
      </c>
      <c r="P791" s="899">
        <f t="shared" ca="1" si="321"/>
        <v>85.631012530315274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42000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76266.679999999993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v>51214.22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IFERROR(__xludf.DUMMYFUNCTION("IMPORTRANGE(""https://docs.google.com/spreadsheets/d/1MaWodYyGHDf7siQLGxnXhG4mBNTNIuy296niS2xXulU/edit?usp=sharing"",""RTK!H45"")"),343)</f>
        <v>343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IFERROR(__xludf.DUMMYFUNCTION("IMPORTRANGE(""https://docs.google.com/spreadsheets/d/1MaWodYyGHDf7siQLGxnXhG4mBNTNIuy296niS2xXulU/edit?usp=sharing"",""RTK!G45"")"),3000)</f>
        <v>3000</v>
      </c>
      <c r="J801" s="819">
        <f ca="1">IFERROR(__xludf.DUMMYFUNCTION("IMPORTRANGE(""https://docs.google.com/spreadsheets/d/1MaWodYyGHDf7siQLGxnXhG4mBNTNIuy296niS2xXulU/edit?usp=sharing"",""RTK!I45"")"),3768)</f>
        <v>3768</v>
      </c>
      <c r="K801" s="820">
        <f ca="1">IF(I801&gt;0,J801*100/I801,0)</f>
        <v>125.6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IFERROR(__xludf.DUMMYFUNCTION("IMPORTRANGE(""https://docs.google.com/spreadsheets/d/1MaWodYyGHDf7siQLGxnXhG4mBNTNIuy296niS2xXulU/edit?usp=sharing"",""RTK!L45"")"),0)</f>
        <v>0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IFERROR(__xludf.DUMMYFUNCTION("IMPORTRANGE(""https://docs.google.com/spreadsheets/d/1MaWodYyGHDf7siQLGxnXhG4mBNTNIuy296niS2xXulU/edit?usp=sharing"",""RTK!K45"")"),0)</f>
        <v>0</v>
      </c>
      <c r="J803" s="819">
        <f ca="1">IFERROR(__xludf.DUMMYFUNCTION("IMPORTRANGE(""https://docs.google.com/spreadsheets/d/1MaWodYyGHDf7siQLGxnXhG4mBNTNIuy296niS2xXulU/edit?usp=sharing"",""RTK!M45"")"),0)</f>
        <v>0</v>
      </c>
      <c r="K803" s="820">
        <f t="shared" ref="K803:K804" ca="1" si="327">IF(I803&gt;0,J803*100/I803,0)</f>
        <v>0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892">
        <f ca="1">IFERROR(__xludf.DUMMYFUNCTION("IMPORTRANGE(""https://docs.google.com/spreadsheets/d/19vJNZY_5yjcGF2XGBMNZRCAIB0Kwfpjp8YEOfu-bneM/edit?usp=sharing"",""งานกองทุน!F45"")"),3159789.01)</f>
        <v>3159789.01</v>
      </c>
      <c r="K821" s="893">
        <f t="shared" ref="K821:K828" ca="1" si="336">IF(I821&gt;0,J821*100/I821,0)</f>
        <v>35.204968029882757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IFERROR(__xludf.DUMMYFUNCTION("IMPORTRANGE(""https://docs.google.com/spreadsheets/d/19vJNZY_5yjcGF2XGBMNZRCAIB0Kwfpjp8YEOfu-bneM/edit?usp=sharing"",""งานกองทุน!C45"")"),724)</f>
        <v>724</v>
      </c>
      <c r="J822" s="892">
        <f ca="1">IFERROR(__xludf.DUMMYFUNCTION("IMPORTRANGE(""https://docs.google.com/spreadsheets/d/19vJNZY_5yjcGF2XGBMNZRCAIB0Kwfpjp8YEOfu-bneM/edit?usp=sharing"",""งานกองทุน!E45"")"),249)</f>
        <v>249</v>
      </c>
      <c r="K822" s="893">
        <f t="shared" ca="1" si="336"/>
        <v>34.392265193370164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892">
        <f ca="1">IFERROR(__xludf.DUMMYFUNCTION("IMPORTRANGE(""https://docs.google.com/spreadsheets/d/19vJNZY_5yjcGF2XGBMNZRCAIB0Kwfpjp8YEOfu-bneM/edit?usp=sharing"",""งานกองทุน!K45"")"),881982.72)</f>
        <v>881982.72</v>
      </c>
      <c r="K823" s="893">
        <f t="shared" ca="1" si="336"/>
        <v>19.544202539697004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IFERROR(__xludf.DUMMYFUNCTION("IMPORTRANGE(""https://docs.google.com/spreadsheets/d/19vJNZY_5yjcGF2XGBMNZRCAIB0Kwfpjp8YEOfu-bneM/edit?usp=sharing"",""งานกองทุน!H45"")"),223)</f>
        <v>223</v>
      </c>
      <c r="J824" s="892">
        <f ca="1">IFERROR(__xludf.DUMMYFUNCTION("IMPORTRANGE(""https://docs.google.com/spreadsheets/d/19vJNZY_5yjcGF2XGBMNZRCAIB0Kwfpjp8YEOfu-bneM/edit?usp=sharing"",""งานกองทุน!J45"")"),99)</f>
        <v>99</v>
      </c>
      <c r="K824" s="893">
        <f t="shared" ca="1" si="336"/>
        <v>44.394618834080717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IFERROR(__xludf.DUMMYFUNCTION("IMPORTRANGE(""https://docs.google.com/spreadsheets/d/19vJNZY_5yjcGF2XGBMNZRCAIB0Kwfpjp8YEOfu-bneM/edit?usp=sharing"",""งานกองทุน!N45"")"),0)</f>
        <v>0</v>
      </c>
      <c r="J825" s="892">
        <f ca="1">IFERROR(__xludf.DUMMYFUNCTION("IMPORTRANGE(""https://docs.google.com/spreadsheets/d/19vJNZY_5yjcGF2XGBMNZRCAIB0Kwfpjp8YEOfu-bneM/edit?usp=sharing"",""งานกองทุน!P45"")"),0)</f>
        <v>0</v>
      </c>
      <c r="K825" s="893">
        <f t="shared" ca="1" si="336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IFERROR(__xludf.DUMMYFUNCTION("IMPORTRANGE(""https://docs.google.com/spreadsheets/d/19vJNZY_5yjcGF2XGBMNZRCAIB0Kwfpjp8YEOfu-bneM/edit?usp=sharing"",""งานกองทุน!M45"")"),0)</f>
        <v>0</v>
      </c>
      <c r="J826" s="892">
        <f ca="1">IFERROR(__xludf.DUMMYFUNCTION("IMPORTRANGE(""https://docs.google.com/spreadsheets/d/19vJNZY_5yjcGF2XGBMNZRCAIB0Kwfpjp8YEOfu-bneM/edit?usp=sharing"",""งานกองทุน!O45"")"),0)</f>
        <v>0</v>
      </c>
      <c r="K826" s="893">
        <f t="shared" ca="1" si="336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IFERROR(__xludf.DUMMYFUNCTION("IMPORTRANGE(""https://docs.google.com/spreadsheets/d/19vJNZY_5yjcGF2XGBMNZRCAIB0Kwfpjp8YEOfu-bneM/edit?usp=sharing"",""งานกองทุน!S45"")"),8000000)</f>
        <v>8000000</v>
      </c>
      <c r="J827" s="892">
        <f ca="1">IFERROR(__xludf.DUMMYFUNCTION("IMPORTRANGE(""https://docs.google.com/spreadsheets/d/19vJNZY_5yjcGF2XGBMNZRCAIB0Kwfpjp8YEOfu-bneM/edit?usp=sharing"",""งานกองทุน!U45"")"),3930000)</f>
        <v>3930000</v>
      </c>
      <c r="K827" s="893">
        <f t="shared" ca="1" si="336"/>
        <v>49.125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IFERROR(__xludf.DUMMYFUNCTION("IMPORTRANGE(""https://docs.google.com/spreadsheets/d/19vJNZY_5yjcGF2XGBMNZRCAIB0Kwfpjp8YEOfu-bneM/edit?usp=sharing"",""งานกองทุน!R45"")"),233)</f>
        <v>233</v>
      </c>
      <c r="J828" s="1149">
        <f ca="1">IFERROR(__xludf.DUMMYFUNCTION("IMPORTRANGE(""https://docs.google.com/spreadsheets/d/19vJNZY_5yjcGF2XGBMNZRCAIB0Kwfpjp8YEOfu-bneM/edit?usp=sharing"",""งานกองทุน!T45"")"),93)</f>
        <v>93</v>
      </c>
      <c r="K828" s="1251">
        <f t="shared" ca="1" si="336"/>
        <v>39.914163090128753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69F5-C916-4B4B-A4AC-F7663A8291A6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9" width="17.85546875" style="864" bestFit="1" customWidth="1"/>
    <col min="10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353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7685915</v>
      </c>
      <c r="M8" s="879">
        <f t="shared" ca="1" si="0"/>
        <v>6966081.8200000003</v>
      </c>
      <c r="N8" s="879">
        <f t="shared" ca="1" si="0"/>
        <v>4791586.82</v>
      </c>
      <c r="O8" s="879">
        <f t="shared" ref="O8:O16" ca="1" si="1">IF(L8&gt;0,N8*100/L8,0)</f>
        <v>62.342438343385268</v>
      </c>
      <c r="P8" s="879">
        <f t="shared" ref="P8:P16" ca="1" si="2">IF(M8&gt;0,N8*100/M8,0)</f>
        <v>68.784532593962552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7685915</v>
      </c>
      <c r="M10" s="886">
        <f t="shared" ca="1" si="3"/>
        <v>6966081.8200000003</v>
      </c>
      <c r="N10" s="886">
        <f t="shared" ca="1" si="3"/>
        <v>4791586.82</v>
      </c>
      <c r="O10" s="886">
        <f t="shared" ca="1" si="1"/>
        <v>62.342438343385268</v>
      </c>
      <c r="P10" s="886">
        <f t="shared" ca="1" si="2"/>
        <v>68.784532593962552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7468815</v>
      </c>
      <c r="M11" s="893">
        <f t="shared" ca="1" si="4"/>
        <v>6751361.8200000003</v>
      </c>
      <c r="N11" s="893">
        <f t="shared" ca="1" si="4"/>
        <v>4576866.82</v>
      </c>
      <c r="O11" s="893">
        <f t="shared" ca="1" si="1"/>
        <v>61.279691892221187</v>
      </c>
      <c r="P11" s="893">
        <f t="shared" ca="1" si="2"/>
        <v>67.791757308009295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7468815</v>
      </c>
      <c r="M13" s="899">
        <f t="shared" ca="1" si="5"/>
        <v>6751361.8200000003</v>
      </c>
      <c r="N13" s="899">
        <f t="shared" ca="1" si="5"/>
        <v>4576866.82</v>
      </c>
      <c r="O13" s="899">
        <f t="shared" ca="1" si="1"/>
        <v>61.279691892221187</v>
      </c>
      <c r="P13" s="899">
        <f t="shared" ca="1" si="2"/>
        <v>67.791757308009295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217100</v>
      </c>
      <c r="M14" s="893">
        <f t="shared" ca="1" si="6"/>
        <v>214720</v>
      </c>
      <c r="N14" s="893">
        <f t="shared" ca="1" si="6"/>
        <v>214720</v>
      </c>
      <c r="O14" s="893">
        <f t="shared" ca="1" si="1"/>
        <v>98.903730999539377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217100</v>
      </c>
      <c r="M16" s="905">
        <f t="shared" ca="1" si="7"/>
        <v>214720</v>
      </c>
      <c r="N16" s="905">
        <f t="shared" ca="1" si="7"/>
        <v>214720</v>
      </c>
      <c r="O16" s="905">
        <f t="shared" ca="1" si="1"/>
        <v>98.903730999539377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4461937</v>
      </c>
      <c r="M18" s="879">
        <f t="shared" ca="1" si="8"/>
        <v>3742103.8200000003</v>
      </c>
      <c r="N18" s="879">
        <f t="shared" ca="1" si="8"/>
        <v>2691684.02</v>
      </c>
      <c r="O18" s="879">
        <f t="shared" ref="O18:O26" ca="1" si="9">IF(L18&gt;0,N18*100/L18,0)</f>
        <v>60.325459996409634</v>
      </c>
      <c r="P18" s="879">
        <f t="shared" ref="P18:P26" ca="1" si="10">IF(M18&gt;0,N18*100/M18,0)</f>
        <v>71.929699160511262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4461937</v>
      </c>
      <c r="M20" s="886">
        <f t="shared" ca="1" si="11"/>
        <v>3742103.8200000003</v>
      </c>
      <c r="N20" s="886">
        <f t="shared" ca="1" si="11"/>
        <v>2691684.02</v>
      </c>
      <c r="O20" s="886">
        <f t="shared" ca="1" si="9"/>
        <v>60.325459996409634</v>
      </c>
      <c r="P20" s="886">
        <f t="shared" ca="1" si="10"/>
        <v>71.929699160511262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4244837</v>
      </c>
      <c r="M21" s="893">
        <f t="shared" ca="1" si="12"/>
        <v>3527383.8200000003</v>
      </c>
      <c r="N21" s="893">
        <f t="shared" ca="1" si="12"/>
        <v>2476964.02</v>
      </c>
      <c r="O21" s="893">
        <f t="shared" ca="1" si="9"/>
        <v>58.352394214430376</v>
      </c>
      <c r="P21" s="893">
        <f t="shared" ca="1" si="10"/>
        <v>70.220995116998637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4244837</v>
      </c>
      <c r="M23" s="899">
        <f t="shared" ca="1" si="13"/>
        <v>3527383.8200000003</v>
      </c>
      <c r="N23" s="899">
        <f t="shared" ca="1" si="13"/>
        <v>2476964.02</v>
      </c>
      <c r="O23" s="899">
        <f t="shared" ca="1" si="9"/>
        <v>58.352394214430376</v>
      </c>
      <c r="P23" s="899">
        <f t="shared" ca="1" si="10"/>
        <v>70.220995116998637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217100</v>
      </c>
      <c r="M24" s="893">
        <f t="shared" ca="1" si="14"/>
        <v>214720</v>
      </c>
      <c r="N24" s="893">
        <f t="shared" ca="1" si="14"/>
        <v>214720</v>
      </c>
      <c r="O24" s="893">
        <f t="shared" ca="1" si="9"/>
        <v>98.903730999539377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217100</v>
      </c>
      <c r="M26" s="905">
        <f t="shared" ca="1" si="15"/>
        <v>214720</v>
      </c>
      <c r="N26" s="905">
        <f t="shared" ca="1" si="15"/>
        <v>214720</v>
      </c>
      <c r="O26" s="905">
        <f t="shared" ca="1" si="9"/>
        <v>98.903730999539377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3223978</v>
      </c>
      <c r="M28" s="879">
        <f t="shared" ca="1" si="16"/>
        <v>3223978</v>
      </c>
      <c r="N28" s="879">
        <f t="shared" si="16"/>
        <v>2099902.7999999998</v>
      </c>
      <c r="O28" s="879">
        <f t="shared" ref="O28:O37" ca="1" si="17">IF(L28&gt;0,N28*100/L28,0)</f>
        <v>65.133906000599254</v>
      </c>
      <c r="P28" s="879">
        <f t="shared" ref="P28:P37" ca="1" si="18">IF(M28&gt;0,N28*100/M28,0)</f>
        <v>65.133906000599254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3223978</v>
      </c>
      <c r="M30" s="886">
        <f t="shared" ca="1" si="19"/>
        <v>3223978</v>
      </c>
      <c r="N30" s="886">
        <f t="shared" si="19"/>
        <v>2099902.7999999998</v>
      </c>
      <c r="O30" s="886">
        <f t="shared" ca="1" si="17"/>
        <v>65.133906000599254</v>
      </c>
      <c r="P30" s="886">
        <f t="shared" ca="1" si="18"/>
        <v>65.133906000599254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3223978</v>
      </c>
      <c r="M31" s="893">
        <f t="shared" ca="1" si="20"/>
        <v>3223978</v>
      </c>
      <c r="N31" s="893">
        <f t="shared" si="20"/>
        <v>2099902.7999999998</v>
      </c>
      <c r="O31" s="893">
        <f t="shared" ca="1" si="17"/>
        <v>65.133906000599254</v>
      </c>
      <c r="P31" s="893">
        <f t="shared" ca="1" si="18"/>
        <v>65.133906000599254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3223978</v>
      </c>
      <c r="M33" s="899">
        <f t="shared" ca="1" si="21"/>
        <v>3223978</v>
      </c>
      <c r="N33" s="899">
        <f t="shared" si="21"/>
        <v>2099902.7999999998</v>
      </c>
      <c r="O33" s="899">
        <f t="shared" ca="1" si="17"/>
        <v>65.133906000599254</v>
      </c>
      <c r="P33" s="899">
        <f t="shared" ca="1" si="18"/>
        <v>65.133906000599254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4461937</v>
      </c>
      <c r="M37" s="912">
        <f t="shared" ca="1" si="24"/>
        <v>3742103.8200000003</v>
      </c>
      <c r="N37" s="912">
        <f t="shared" ca="1" si="24"/>
        <v>2691684.02</v>
      </c>
      <c r="O37" s="912">
        <f t="shared" ca="1" si="17"/>
        <v>60.325459996409634</v>
      </c>
      <c r="P37" s="912">
        <f t="shared" ca="1" si="18"/>
        <v>71.929699160511262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432342</v>
      </c>
      <c r="M41" s="938">
        <f t="shared" ca="1" si="25"/>
        <v>453242.82</v>
      </c>
      <c r="N41" s="938">
        <f t="shared" ca="1" si="25"/>
        <v>281818.26</v>
      </c>
      <c r="O41" s="938">
        <f t="shared" ref="O41:O49" ca="1" si="26">IF(L41&gt;0,N41*100/L41,0)</f>
        <v>65.184104250801454</v>
      </c>
      <c r="P41" s="938">
        <f t="shared" ref="P41:P49" ca="1" si="27">IF(M41&gt;0,N41*100/M41,0)</f>
        <v>62.178207257646129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432342</v>
      </c>
      <c r="M43" s="944">
        <f t="shared" ca="1" si="28"/>
        <v>453242.82</v>
      </c>
      <c r="N43" s="944">
        <f t="shared" ca="1" si="28"/>
        <v>281818.26</v>
      </c>
      <c r="O43" s="944">
        <f t="shared" ca="1" si="26"/>
        <v>65.184104250801454</v>
      </c>
      <c r="P43" s="944">
        <f t="shared" ca="1" si="27"/>
        <v>62.178207257646129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432342</v>
      </c>
      <c r="M44" s="893">
        <f t="shared" ca="1" si="29"/>
        <v>453242.82</v>
      </c>
      <c r="N44" s="893">
        <f t="shared" ca="1" si="29"/>
        <v>281818.26</v>
      </c>
      <c r="O44" s="893">
        <f t="shared" ca="1" si="26"/>
        <v>65.184104250801454</v>
      </c>
      <c r="P44" s="893">
        <f t="shared" ca="1" si="27"/>
        <v>62.178207257646129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IFERROR(__xludf.DUMMYFUNCTION("IMPORTRANGE(""https://docs.google.com/spreadsheets/d/1MeEWN-I1oV_STSDYn1IFDPWt_1FKiwhDph83XaGc0o0/edit?usp=sharing"",""งบพรบ!M46"")"),432342)</f>
        <v>432342</v>
      </c>
      <c r="M46" s="899">
        <f ca="1">IFERROR(__xludf.DUMMYFUNCTION("IMPORTRANGE(""https://docs.google.com/spreadsheets/d/1MeEWN-I1oV_STSDYn1IFDPWt_1FKiwhDph83XaGc0o0/edit?usp=sharing"",""งบพรบ!R46"")"),453242.82)</f>
        <v>453242.82</v>
      </c>
      <c r="N46" s="899">
        <f ca="1">IFERROR(__xludf.DUMMYFUNCTION("IMPORTRANGE(""https://docs.google.com/spreadsheets/d/1MeEWN-I1oV_STSDYn1IFDPWt_1FKiwhDph83XaGc0o0/edit?usp=sharing"",""งบพรบ!T46"")"),281818.26)</f>
        <v>281818.26</v>
      </c>
      <c r="O46" s="899">
        <f t="shared" ca="1" si="26"/>
        <v>65.184104250801454</v>
      </c>
      <c r="P46" s="899">
        <f t="shared" ca="1" si="27"/>
        <v>62.178207257646129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IFERROR(__xludf.DUMMYFUNCTION("IMPORTRANGE(""https://docs.google.com/spreadsheets/d/1MeEWN-I1oV_STSDYn1IFDPWt_1FKiwhDph83XaGc0o0/edit?usp=sharing"",""งบพรบ!P46"")"),0)</f>
        <v>0</v>
      </c>
      <c r="M49" s="905">
        <f ca="1">IFERROR(__xludf.DUMMYFUNCTION("IMPORTRANGE(""https://docs.google.com/spreadsheets/d/1MeEWN-I1oV_STSDYn1IFDPWt_1FKiwhDph83XaGc0o0/edit?usp=sharing"",""งบพรบ!S46"")"),0)</f>
        <v>0</v>
      </c>
      <c r="N49" s="905">
        <f ca="1">IFERROR(__xludf.DUMMYFUNCTION("IMPORTRANGE(""https://docs.google.com/spreadsheets/d/1MeEWN-I1oV_STSDYn1IFDPWt_1FKiwhDph83XaGc0o0/edit?usp=sharing"",""งบพรบ!U46"")"),0)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825900</v>
      </c>
      <c r="M53" s="968">
        <f t="shared" ca="1" si="31"/>
        <v>688320</v>
      </c>
      <c r="N53" s="968">
        <f t="shared" ca="1" si="31"/>
        <v>577776.01</v>
      </c>
      <c r="O53" s="968">
        <f t="shared" ref="O53:O61" ca="1" si="32">IF(L53&gt;0,N53*100/L53,0)</f>
        <v>69.957138878798887</v>
      </c>
      <c r="P53" s="968">
        <f t="shared" ref="P53:P61" ca="1" si="33">IF(M53&gt;0,N53*100/M53,0)</f>
        <v>83.940029346815436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825900</v>
      </c>
      <c r="M55" s="974">
        <f t="shared" ca="1" si="34"/>
        <v>688320</v>
      </c>
      <c r="N55" s="974">
        <f t="shared" ca="1" si="34"/>
        <v>577776.01</v>
      </c>
      <c r="O55" s="974">
        <f t="shared" ca="1" si="32"/>
        <v>69.957138878798887</v>
      </c>
      <c r="P55" s="974">
        <f t="shared" ca="1" si="33"/>
        <v>83.940029346815436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776000</v>
      </c>
      <c r="M56" s="893">
        <f t="shared" ca="1" si="35"/>
        <v>638620</v>
      </c>
      <c r="N56" s="893">
        <f t="shared" ca="1" si="35"/>
        <v>528076.01</v>
      </c>
      <c r="O56" s="893">
        <f t="shared" ca="1" si="32"/>
        <v>68.051032216494846</v>
      </c>
      <c r="P56" s="893">
        <f t="shared" ca="1" si="33"/>
        <v>82.690177257210863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IFERROR(__xludf.DUMMYFUNCTION("IMPORTRANGE(""https://docs.google.com/spreadsheets/d/1MeEWN-I1oV_STSDYn1IFDPWt_1FKiwhDph83XaGc0o0/edit?usp=sharing"",""งบพรบ!W46"")"),776000)</f>
        <v>776000</v>
      </c>
      <c r="M58" s="899">
        <f ca="1">IFERROR(__xludf.DUMMYFUNCTION("IMPORTRANGE(""https://docs.google.com/spreadsheets/d/1MeEWN-I1oV_STSDYn1IFDPWt_1FKiwhDph83XaGc0o0/edit?usp=sharing"",""งบพรบ!AB46"")"),638620)</f>
        <v>638620</v>
      </c>
      <c r="N58" s="899">
        <f ca="1">IFERROR(__xludf.DUMMYFUNCTION("IMPORTRANGE(""https://docs.google.com/spreadsheets/d/1MeEWN-I1oV_STSDYn1IFDPWt_1FKiwhDph83XaGc0o0/edit?usp=sharing"",""งบพรบ!AD46"")"),528076.01)</f>
        <v>528076.01</v>
      </c>
      <c r="O58" s="899">
        <f t="shared" ca="1" si="32"/>
        <v>68.051032216494846</v>
      </c>
      <c r="P58" s="899">
        <f t="shared" ca="1" si="33"/>
        <v>82.690177257210863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49900</v>
      </c>
      <c r="M59" s="893">
        <f t="shared" ca="1" si="36"/>
        <v>49700</v>
      </c>
      <c r="N59" s="893">
        <f t="shared" ca="1" si="36"/>
        <v>49700</v>
      </c>
      <c r="O59" s="893">
        <f t="shared" ca="1" si="32"/>
        <v>99.599198396793582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IFERROR(__xludf.DUMMYFUNCTION("IMPORTRANGE(""https://docs.google.com/spreadsheets/d/1MeEWN-I1oV_STSDYn1IFDPWt_1FKiwhDph83XaGc0o0/edit?usp=sharing"",""งบพรบ!Z46"")"),49900)</f>
        <v>49900</v>
      </c>
      <c r="M61" s="905">
        <f ca="1">IFERROR(__xludf.DUMMYFUNCTION("IMPORTRANGE(""https://docs.google.com/spreadsheets/d/1MeEWN-I1oV_STSDYn1IFDPWt_1FKiwhDph83XaGc0o0/edit?usp=sharing"",""งบพรบ!AC46"")"),49700)</f>
        <v>49700</v>
      </c>
      <c r="N61" s="905">
        <f ca="1">IFERROR(__xludf.DUMMYFUNCTION("IMPORTRANGE(""https://docs.google.com/spreadsheets/d/1MeEWN-I1oV_STSDYn1IFDPWt_1FKiwhDph83XaGc0o0/edit?usp=sharing"",""งบพรบ!AE46"")"),49700)</f>
        <v>49700</v>
      </c>
      <c r="O61" s="905">
        <f t="shared" ca="1" si="32"/>
        <v>99.599198396793582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 hidden="1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 hidden="1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0</v>
      </c>
      <c r="J64" s="994">
        <f t="shared" si="37"/>
        <v>0</v>
      </c>
      <c r="K64" s="995">
        <f t="shared" ref="K64:K65" ca="1" si="38">IF(I64&gt;0,J64*100/I64,0)</f>
        <v>0</v>
      </c>
      <c r="L64" s="996"/>
      <c r="M64" s="996"/>
      <c r="N64" s="996"/>
      <c r="O64" s="996"/>
      <c r="P64" s="996"/>
    </row>
    <row r="65" spans="1:26" ht="19.5" hidden="1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0</v>
      </c>
      <c r="J65" s="994">
        <f t="shared" si="37"/>
        <v>0</v>
      </c>
      <c r="K65" s="995">
        <f t="shared" ca="1" si="38"/>
        <v>0</v>
      </c>
      <c r="L65" s="996"/>
      <c r="M65" s="996"/>
      <c r="N65" s="996"/>
      <c r="O65" s="996"/>
      <c r="P65" s="996"/>
    </row>
    <row r="66" spans="1:26" ht="19.5" hidden="1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0</v>
      </c>
      <c r="M66" s="1004">
        <f t="shared" ca="1" si="39"/>
        <v>0</v>
      </c>
      <c r="N66" s="1004">
        <f t="shared" ca="1" si="39"/>
        <v>0</v>
      </c>
      <c r="O66" s="1004">
        <f t="shared" ref="O66:O74" ca="1" si="40">IF(L66&gt;0,N66*100/L66,0)</f>
        <v>0</v>
      </c>
      <c r="P66" s="1004">
        <f t="shared" ref="P66:P74" ca="1" si="41">IF(M66&gt;0,N66*100/M66,0)</f>
        <v>0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0</v>
      </c>
      <c r="M68" s="899">
        <f t="shared" ca="1" si="42"/>
        <v>0</v>
      </c>
      <c r="N68" s="899">
        <f t="shared" ca="1" si="42"/>
        <v>0</v>
      </c>
      <c r="O68" s="899">
        <f t="shared" ca="1" si="40"/>
        <v>0</v>
      </c>
      <c r="P68" s="899">
        <f t="shared" ca="1" si="41"/>
        <v>0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 hidden="1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0</v>
      </c>
      <c r="M69" s="893">
        <f t="shared" ca="1" si="43"/>
        <v>0</v>
      </c>
      <c r="N69" s="893">
        <f t="shared" ca="1" si="43"/>
        <v>0</v>
      </c>
      <c r="O69" s="893">
        <f t="shared" ca="1" si="40"/>
        <v>0</v>
      </c>
      <c r="P69" s="893">
        <f t="shared" ca="1" si="41"/>
        <v>0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IFERROR(__xludf.DUMMYFUNCTION("IMPORTRANGE(""https://docs.google.com/spreadsheets/d/1MeEWN-I1oV_STSDYn1IFDPWt_1FKiwhDph83XaGc0o0/edit?usp=sharing"",""งบพรบ!AG46"")"),0)</f>
        <v>0</v>
      </c>
      <c r="M71" s="899">
        <f ca="1">IFERROR(__xludf.DUMMYFUNCTION("IMPORTRANGE(""https://docs.google.com/spreadsheets/d/1MeEWN-I1oV_STSDYn1IFDPWt_1FKiwhDph83XaGc0o0/edit?usp=sharing"",""งบพรบ!AL46"")"),0)</f>
        <v>0</v>
      </c>
      <c r="N71" s="899">
        <f ca="1">IFERROR(__xludf.DUMMYFUNCTION("IMPORTRANGE(""https://docs.google.com/spreadsheets/d/1MeEWN-I1oV_STSDYn1IFDPWt_1FKiwhDph83XaGc0o0/edit?usp=sharing"",""งบพรบ!AN46"")"),0)</f>
        <v>0</v>
      </c>
      <c r="O71" s="899">
        <f t="shared" ca="1" si="40"/>
        <v>0</v>
      </c>
      <c r="P71" s="899">
        <f t="shared" ca="1" si="41"/>
        <v>0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 hidden="1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IFERROR(__xludf.DUMMYFUNCTION("IMPORTRANGE(""https://docs.google.com/spreadsheets/d/1MeEWN-I1oV_STSDYn1IFDPWt_1FKiwhDph83XaGc0o0/edit?usp=sharing"",""งบพรบ!AJ46"")"),0)</f>
        <v>0</v>
      </c>
      <c r="M74" s="899">
        <f ca="1">IFERROR(__xludf.DUMMYFUNCTION("IMPORTRANGE(""https://docs.google.com/spreadsheets/d/1MeEWN-I1oV_STSDYn1IFDPWt_1FKiwhDph83XaGc0o0/edit?usp=sharing"",""งบพรบ!AM46"")"),0)</f>
        <v>0</v>
      </c>
      <c r="N74" s="899">
        <f ca="1">IFERROR(__xludf.DUMMYFUNCTION("IMPORTRANGE(""https://docs.google.com/spreadsheets/d/1MeEWN-I1oV_STSDYn1IFDPWt_1FKiwhDph83XaGc0o0/edit?usp=sharing"",""งบพรบ!AO46"")"),0)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 hidden="1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 hidden="1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0</v>
      </c>
      <c r="J76" s="892">
        <f t="shared" si="45"/>
        <v>0</v>
      </c>
      <c r="K76" s="1010">
        <f t="shared" ref="K76:K84" ca="1" si="46">IF(I76&gt;0,J76*100/I76,0)</f>
        <v>0</v>
      </c>
      <c r="L76" s="1010"/>
      <c r="M76" s="1010"/>
      <c r="N76" s="1010"/>
      <c r="O76" s="1010"/>
      <c r="P76" s="1010"/>
    </row>
    <row r="77" spans="1:26" ht="19.5" hidden="1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0</v>
      </c>
      <c r="J77" s="892">
        <f t="shared" si="45"/>
        <v>0</v>
      </c>
      <c r="K77" s="1010">
        <f t="shared" ca="1" si="46"/>
        <v>0</v>
      </c>
      <c r="L77" s="1010"/>
      <c r="M77" s="1010"/>
      <c r="N77" s="1010"/>
      <c r="O77" s="1010"/>
      <c r="P77" s="1010"/>
    </row>
    <row r="78" spans="1:26" ht="18.75" hidden="1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IFERROR(__xludf.DUMMYFUNCTION("IMPORTRANGE(""https://docs.google.com/spreadsheets/d/1QqKyyYR6Q21VydFLVH3TRQUabQu_ym0Zz7PgGX0-kHA/edit?usp=sharing"",""แผน!H46"")"),0)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 hidden="1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IFERROR(__xludf.DUMMYFUNCTION("IMPORTRANGE(""https://docs.google.com/spreadsheets/d/1QqKyyYR6Q21VydFLVH3TRQUabQu_ym0Zz7PgGX0-kHA/edit?usp=sharing"",""แผน!I46"")"),0)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 hidden="1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IFERROR(__xludf.DUMMYFUNCTION("IMPORTRANGE(""https://docs.google.com/spreadsheets/d/1QqKyyYR6Q21VydFLVH3TRQUabQu_ym0Zz7PgGX0-kHA/edit?usp=sharing"",""แผน!F46"")"),0)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 hidden="1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IFERROR(__xludf.DUMMYFUNCTION("IMPORTRANGE(""https://docs.google.com/spreadsheets/d/1QqKyyYR6Q21VydFLVH3TRQUabQu_ym0Zz7PgGX0-kHA/edit?usp=sharing"",""แผน!G46"")"),0)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 hidden="1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IFERROR(__xludf.DUMMYFUNCTION("IMPORTRANGE(""https://docs.google.com/spreadsheets/d/1QqKyyYR6Q21VydFLVH3TRQUabQu_ym0Zz7PgGX0-kHA/edit?usp=sharing"",""แผน!D46"")"),0)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 hidden="1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IFERROR(__xludf.DUMMYFUNCTION("IMPORTRANGE(""https://docs.google.com/spreadsheets/d/1QqKyyYR6Q21VydFLVH3TRQUabQu_ym0Zz7PgGX0-kHA/edit?usp=sharing"",""แผน!E46"")"),0)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 hidden="1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IFERROR(__xludf.DUMMYFUNCTION("IMPORTRANGE(""https://docs.google.com/spreadsheets/d/1QqKyyYR6Q21VydFLVH3TRQUabQu_ym0Zz7PgGX0-kHA/edit?usp=sharing"",""แผน!J46"")"),0)</f>
        <v>0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45</v>
      </c>
      <c r="J86" s="994">
        <f t="shared" si="47"/>
        <v>45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15</v>
      </c>
      <c r="J87" s="994">
        <f t="shared" si="47"/>
        <v>15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98760</v>
      </c>
      <c r="M88" s="1004">
        <f t="shared" ca="1" si="49"/>
        <v>62810</v>
      </c>
      <c r="N88" s="1004">
        <f t="shared" ca="1" si="49"/>
        <v>58250</v>
      </c>
      <c r="O88" s="1004">
        <f t="shared" ref="O88:O96" ca="1" si="50">IF(L88&gt;0,N88*100/L88,0)</f>
        <v>58.981368975293641</v>
      </c>
      <c r="P88" s="1004">
        <f t="shared" ref="P88:P96" ca="1" si="51">IF(M88&gt;0,N88*100/M88,0)</f>
        <v>92.740009552619014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98760</v>
      </c>
      <c r="M90" s="899">
        <f t="shared" ca="1" si="52"/>
        <v>62810</v>
      </c>
      <c r="N90" s="899">
        <f t="shared" ca="1" si="52"/>
        <v>58250</v>
      </c>
      <c r="O90" s="899">
        <f t="shared" ca="1" si="50"/>
        <v>58.981368975293641</v>
      </c>
      <c r="P90" s="899">
        <f t="shared" ca="1" si="51"/>
        <v>92.740009552619014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98760</v>
      </c>
      <c r="M91" s="893">
        <f t="shared" ca="1" si="53"/>
        <v>62810</v>
      </c>
      <c r="N91" s="893">
        <f t="shared" ca="1" si="53"/>
        <v>58250</v>
      </c>
      <c r="O91" s="893">
        <f t="shared" ca="1" si="50"/>
        <v>58.981368975293641</v>
      </c>
      <c r="P91" s="893">
        <f t="shared" ca="1" si="51"/>
        <v>92.740009552619014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IFERROR(__xludf.DUMMYFUNCTION("IMPORTRANGE(""https://docs.google.com/spreadsheets/d/1MeEWN-I1oV_STSDYn1IFDPWt_1FKiwhDph83XaGc0o0/edit?usp=sharing"",""งบพรบ!AQ46"")"),98760)</f>
        <v>98760</v>
      </c>
      <c r="M93" s="899">
        <f ca="1">IFERROR(__xludf.DUMMYFUNCTION("IMPORTRANGE(""https://docs.google.com/spreadsheets/d/1MeEWN-I1oV_STSDYn1IFDPWt_1FKiwhDph83XaGc0o0/edit?usp=sharing"",""งบพรบ!AV46"")"),62810)</f>
        <v>62810</v>
      </c>
      <c r="N93" s="899">
        <f ca="1">IFERROR(__xludf.DUMMYFUNCTION("IMPORTRANGE(""https://docs.google.com/spreadsheets/d/1MeEWN-I1oV_STSDYn1IFDPWt_1FKiwhDph83XaGc0o0/edit?usp=sharing"",""งบพรบ!AX46"")"),58250)</f>
        <v>58250</v>
      </c>
      <c r="O93" s="899">
        <f t="shared" ca="1" si="50"/>
        <v>58.981368975293641</v>
      </c>
      <c r="P93" s="899">
        <f t="shared" ca="1" si="51"/>
        <v>92.740009552619014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IFERROR(__xludf.DUMMYFUNCTION("IMPORTRANGE(""https://docs.google.com/spreadsheets/d/1MeEWN-I1oV_STSDYn1IFDPWt_1FKiwhDph83XaGc0o0/edit?usp=sharing"",""งบพรบ!AT46"")"),0)</f>
        <v>0</v>
      </c>
      <c r="M96" s="899">
        <f ca="1">IFERROR(__xludf.DUMMYFUNCTION("IMPORTRANGE(""https://docs.google.com/spreadsheets/d/1MeEWN-I1oV_STSDYn1IFDPWt_1FKiwhDph83XaGc0o0/edit?usp=sharing"",""งบพรบ!AW46"")"),0)</f>
        <v>0</v>
      </c>
      <c r="N96" s="899">
        <f ca="1">IFERROR(__xludf.DUMMYFUNCTION("IMPORTRANGE(""https://docs.google.com/spreadsheets/d/1MeEWN-I1oV_STSDYn1IFDPWt_1FKiwhDph83XaGc0o0/edit?usp=sharing"",""งบพรบ!AY46"")"),0)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IFERROR(__xludf.DUMMYFUNCTION("IMPORTRANGE(""https://docs.google.com/spreadsheets/d/1QqKyyYR6Q21VydFLVH3TRQUabQu_ym0Zz7PgGX0-kHA/edit?usp=sharing"",""แผน!K46"")"),45)</f>
        <v>45</v>
      </c>
      <c r="J98" s="892">
        <f>J102</f>
        <v>45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IFERROR(__xludf.DUMMYFUNCTION("IMPORTRANGE(""https://docs.google.com/spreadsheets/d/1QqKyyYR6Q21VydFLVH3TRQUabQu_ym0Zz7PgGX0-kHA/edit?usp=sharing"",""แผน!L46"")"),15)</f>
        <v>15</v>
      </c>
      <c r="J99" s="892">
        <f>J104</f>
        <v>15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IFERROR(__xludf.DUMMYFUNCTION("IMPORTRANGE(""https://docs.google.com/spreadsheets/d/1QqKyyYR6Q21VydFLVH3TRQUabQu_ym0Zz7PgGX0-kHA/edit?usp=sharing"",""แผน!M46"")"),2)</f>
        <v>2</v>
      </c>
      <c r="J100" s="892">
        <f>J107+J110</f>
        <v>1</v>
      </c>
      <c r="K100" s="893">
        <f t="shared" ca="1" si="55"/>
        <v>50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IFERROR(__xludf.DUMMYFUNCTION("IMPORTRANGE(""https://docs.google.com/spreadsheets/d/1QqKyyYR6Q21VydFLVH3TRQUabQu_ym0Zz7PgGX0-kHA/edit?usp=sharing"",""แผน!N46"")"),45)</f>
        <v>45</v>
      </c>
      <c r="J102" s="1024">
        <v>45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IFERROR(__xludf.DUMMYFUNCTION("IMPORTRANGE(""https://docs.google.com/spreadsheets/d/1QqKyyYR6Q21VydFLVH3TRQUabQu_ym0Zz7PgGX0-kHA/edit?usp=sharing"",""แผน!O46"")"),15)</f>
        <v>15</v>
      </c>
      <c r="J103" s="1024">
        <v>15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IFERROR(__xludf.DUMMYFUNCTION("IMPORTRANGE(""https://docs.google.com/spreadsheets/d/1QqKyyYR6Q21VydFLVH3TRQUabQu_ym0Zz7PgGX0-kHA/edit?usp=sharing"",""แผน!O46"")"),15)</f>
        <v>15</v>
      </c>
      <c r="J104" s="1024">
        <v>15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IFERROR(__xludf.DUMMYFUNCTION("IMPORTRANGE(""https://docs.google.com/spreadsheets/d/1QqKyyYR6Q21VydFLVH3TRQUabQu_ym0Zz7PgGX0-kHA/edit?usp=sharing"",""แผน!P46"")"),1)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IFERROR(__xludf.DUMMYFUNCTION("IMPORTRANGE(""https://docs.google.com/spreadsheets/d/1QqKyyYR6Q21VydFLVH3TRQUabQu_ym0Zz7PgGX0-kHA/edit?usp=sharing"",""แผน!P46"")"),1)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IFERROR(__xludf.DUMMYFUNCTION("IMPORTRANGE(""https://docs.google.com/spreadsheets/d/1QqKyyYR6Q21VydFLVH3TRQUabQu_ym0Zz7PgGX0-kHA/edit?usp=sharing"",""แผน!Q46"")"),1)</f>
        <v>1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IFERROR(__xludf.DUMMYFUNCTION("IMPORTRANGE(""https://docs.google.com/spreadsheets/d/1QqKyyYR6Q21VydFLVH3TRQUabQu_ym0Zz7PgGX0-kHA/edit?usp=sharing"",""แผน!Q46"")"),1)</f>
        <v>1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IFERROR(__xludf.DUMMYFUNCTION("IMPORTRANGE(""https://docs.google.com/spreadsheets/d/1QqKyyYR6Q21VydFLVH3TRQUabQu_ym0Zz7PgGX0-kHA/edit?usp=sharing"",""แผน!R46"")"),15)</f>
        <v>15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IFERROR(__xludf.DUMMYFUNCTION("IMPORTRANGE(""https://docs.google.com/spreadsheets/d/1QqKyyYR6Q21VydFLVH3TRQUabQu_ym0Zz7PgGX0-kHA/edit?usp=sharing"",""แผน!R46"")"),15)</f>
        <v>15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IFERROR(__xludf.DUMMYFUNCTION("IMPORTRANGE(""https://docs.google.com/spreadsheets/d/1QqKyyYR6Q21VydFLVH3TRQUabQu_ym0Zz7PgGX0-kHA/edit?usp=sharing"",""แผน!R46"")"),15)</f>
        <v>15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IFERROR(__xludf.DUMMYFUNCTION("IMPORTRANGE(""https://docs.google.com/spreadsheets/d/1QqKyyYR6Q21VydFLVH3TRQUabQu_ym0Zz7PgGX0-kHA/edit?usp=sharing"",""แผน!S46"")"),1)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IFERROR(__xludf.DUMMYFUNCTION("IMPORTRANGE(""https://docs.google.com/spreadsheets/d/1QqKyyYR6Q21VydFLVH3TRQUabQu_ym0Zz7PgGX0-kHA/edit?usp=sharing"",""แผน!T46"")"),1)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>
      <c r="A118" s="989"/>
      <c r="B118" s="990" t="s">
        <v>65</v>
      </c>
      <c r="C118" s="1038"/>
      <c r="D118" s="992"/>
      <c r="E118" s="991"/>
      <c r="F118" s="991"/>
      <c r="G118" s="993"/>
      <c r="H118" s="205" t="s">
        <v>66</v>
      </c>
      <c r="I118" s="1039">
        <v>1</v>
      </c>
      <c r="J118" s="1039">
        <f>J438</f>
        <v>1</v>
      </c>
      <c r="K118" s="996">
        <f>IF(I118&gt;0,J118*100/I118,0)</f>
        <v>100</v>
      </c>
      <c r="L118" s="996"/>
      <c r="M118" s="996"/>
      <c r="N118" s="996"/>
      <c r="O118" s="996"/>
      <c r="P118" s="996"/>
    </row>
    <row r="119" spans="1:26" ht="19.5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IFERROR(__xludf.DUMMYFUNCTION("IMPORTRANGE(""https://docs.google.com/spreadsheets/d/1MeEWN-I1oV_STSDYn1IFDPWt_1FKiwhDph83XaGc0o0/edit?usp=sharing"",""งบพรบ!BA46"")"),0)</f>
        <v>0</v>
      </c>
      <c r="M124" s="899">
        <f ca="1">IFERROR(__xludf.DUMMYFUNCTION("IMPORTRANGE(""https://docs.google.com/spreadsheets/d/1MeEWN-I1oV_STSDYn1IFDPWt_1FKiwhDph83XaGc0o0/edit?usp=sharing"",""งบพรบ!BF46"")"),0)</f>
        <v>0</v>
      </c>
      <c r="N124" s="899">
        <f ca="1">IFERROR(__xludf.DUMMYFUNCTION("IMPORTRANGE(""https://docs.google.com/spreadsheets/d/1MeEWN-I1oV_STSDYn1IFDPWt_1FKiwhDph83XaGc0o0/edit?usp=sharing"",""งบพรบ!BH46"")"),0)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IFERROR(__xludf.DUMMYFUNCTION("IMPORTRANGE(""https://docs.google.com/spreadsheets/d/1MeEWN-I1oV_STSDYn1IFDPWt_1FKiwhDph83XaGc0o0/edit?usp=sharing"",""งบพรบ!BD46"")"),0)</f>
        <v>0</v>
      </c>
      <c r="M127" s="899">
        <f ca="1">IFERROR(__xludf.DUMMYFUNCTION("IMPORTRANGE(""https://docs.google.com/spreadsheets/d/1MeEWN-I1oV_STSDYn1IFDPWt_1FKiwhDph83XaGc0o0/edit?usp=sharing"",""งบพรบ!BG46"")"),0)</f>
        <v>0</v>
      </c>
      <c r="N127" s="899">
        <f ca="1">IFERROR(__xludf.DUMMYFUNCTION("IMPORTRANGE(""https://docs.google.com/spreadsheets/d/1MeEWN-I1oV_STSDYn1IFDPWt_1FKiwhDph83XaGc0o0/edit?usp=sharing"",""งบพรบ!BI46"")"),0)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IFERROR(__xludf.DUMMYFUNCTION("IMPORTRANGE(""https://docs.google.com/spreadsheets/d/1MeEWN-I1oV_STSDYn1IFDPWt_1FKiwhDph83XaGc0o0/edit?usp=sharing"",""งบพรบ!BK46"")"),0)</f>
        <v>0</v>
      </c>
      <c r="M137" s="899">
        <f ca="1">IFERROR(__xludf.DUMMYFUNCTION("IMPORTRANGE(""https://docs.google.com/spreadsheets/d/1MeEWN-I1oV_STSDYn1IFDPWt_1FKiwhDph83XaGc0o0/edit?usp=sharing"",""งบพรบ!BP46"")"),0)</f>
        <v>0</v>
      </c>
      <c r="N137" s="899">
        <f ca="1">IFERROR(__xludf.DUMMYFUNCTION("IMPORTRANGE(""https://docs.google.com/spreadsheets/d/1MeEWN-I1oV_STSDYn1IFDPWt_1FKiwhDph83XaGc0o0/edit?usp=sharing"",""งบพรบ!BR46"")"),0)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IFERROR(__xludf.DUMMYFUNCTION("IMPORTRANGE(""https://docs.google.com/spreadsheets/d/1MeEWN-I1oV_STSDYn1IFDPWt_1FKiwhDph83XaGc0o0/edit?usp=sharing"",""งบพรบ!BN46"")"),0)</f>
        <v>0</v>
      </c>
      <c r="M140" s="899">
        <f ca="1">IFERROR(__xludf.DUMMYFUNCTION("IMPORTRANGE(""https://docs.google.com/spreadsheets/d/1MeEWN-I1oV_STSDYn1IFDPWt_1FKiwhDph83XaGc0o0/edit?usp=sharing"",""งบพรบ!BQ46"")"),0)</f>
        <v>0</v>
      </c>
      <c r="N140" s="899">
        <f ca="1">IFERROR(__xludf.DUMMYFUNCTION("IMPORTRANGE(""https://docs.google.com/spreadsheets/d/1MeEWN-I1oV_STSDYn1IFDPWt_1FKiwhDph83XaGc0o0/edit?usp=sharing"",""งบพรบ!BS46"")"),0)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IFERROR(__xludf.DUMMYFUNCTION("IMPORTRANGE(""https://docs.google.com/spreadsheets/d/1QqKyyYR6Q21VydFLVH3TRQUabQu_ym0Zz7PgGX0-kHA/edit?usp=sharing"",""แผน!U46"")"),0)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IFERROR(__xludf.DUMMYFUNCTION("IMPORTRANGE(""https://docs.google.com/spreadsheets/d/1QqKyyYR6Q21VydFLVH3TRQUabQu_ym0Zz7PgGX0-kHA/edit?usp=sharing"",""แผน!V46"")"),0)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IFERROR(__xludf.DUMMYFUNCTION("IMPORTRANGE(""https://docs.google.com/spreadsheets/d/1QqKyyYR6Q21VydFLVH3TRQUabQu_ym0Zz7PgGX0-kHA/edit?usp=sharing"",""แผน!W46"")"),0)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IFERROR(__xludf.DUMMYFUNCTION("IMPORTRANGE(""https://docs.google.com/spreadsheets/d/1MeEWN-I1oV_STSDYn1IFDPWt_1FKiwhDph83XaGc0o0/edit?usp=sharing"",""งบพรบ!BU46"")"),0)</f>
        <v>0</v>
      </c>
      <c r="M154" s="899">
        <f ca="1">IFERROR(__xludf.DUMMYFUNCTION("IMPORTRANGE(""https://docs.google.com/spreadsheets/d/1MeEWN-I1oV_STSDYn1IFDPWt_1FKiwhDph83XaGc0o0/edit?usp=sharing"",""งบพรบ!BZ46"")"),0)</f>
        <v>0</v>
      </c>
      <c r="N154" s="899">
        <f ca="1">IFERROR(__xludf.DUMMYFUNCTION("IMPORTRANGE(""https://docs.google.com/spreadsheets/d/1MeEWN-I1oV_STSDYn1IFDPWt_1FKiwhDph83XaGc0o0/edit?usp=sharing"",""งบพรบ!CB46"")"),0)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IFERROR(__xludf.DUMMYFUNCTION("IMPORTRANGE(""https://docs.google.com/spreadsheets/d/1MeEWN-I1oV_STSDYn1IFDPWt_1FKiwhDph83XaGc0o0/edit?usp=sharing"",""งบพรบ!BX46"")"),0)</f>
        <v>0</v>
      </c>
      <c r="M157" s="899">
        <f ca="1">IFERROR(__xludf.DUMMYFUNCTION("IMPORTRANGE(""https://docs.google.com/spreadsheets/d/1MeEWN-I1oV_STSDYn1IFDPWt_1FKiwhDph83XaGc0o0/edit?usp=sharing"",""งบพรบ!CA46"")"),0)</f>
        <v>0</v>
      </c>
      <c r="N157" s="899">
        <f ca="1">IFERROR(__xludf.DUMMYFUNCTION("IMPORTRANGE(""https://docs.google.com/spreadsheets/d/1MeEWN-I1oV_STSDYn1IFDPWt_1FKiwhDph83XaGc0o0/edit?usp=sharing"",""งบพรบ!CC46"")"),0)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IFERROR(__xludf.DUMMYFUNCTION("IMPORTRANGE(""https://docs.google.com/spreadsheets/d/1QqKyyYR6Q21VydFLVH3TRQUabQu_ym0Zz7PgGX0-kHA/edit?usp=sharing"",""แผน!X46"")"),0)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36895</v>
      </c>
      <c r="N165" s="1004">
        <f t="shared" ca="1" si="84"/>
        <v>34385</v>
      </c>
      <c r="O165" s="1004">
        <f t="shared" ref="O165:O173" ca="1" si="85">IF(L165&gt;0,N165*100/L165,0)</f>
        <v>155.90569031965541</v>
      </c>
      <c r="P165" s="1004">
        <f t="shared" ref="P165:P173" ca="1" si="86">IF(M165&gt;0,N165*100/M165,0)</f>
        <v>93.196910150426888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36895</v>
      </c>
      <c r="N167" s="899">
        <f t="shared" ca="1" si="87"/>
        <v>34385</v>
      </c>
      <c r="O167" s="899">
        <f t="shared" ca="1" si="85"/>
        <v>155.90569031965541</v>
      </c>
      <c r="P167" s="899">
        <f t="shared" ca="1" si="86"/>
        <v>93.196910150426888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36895</v>
      </c>
      <c r="N168" s="893">
        <f t="shared" ca="1" si="88"/>
        <v>34385</v>
      </c>
      <c r="O168" s="893">
        <f t="shared" ca="1" si="85"/>
        <v>155.90569031965541</v>
      </c>
      <c r="P168" s="893">
        <f t="shared" ca="1" si="86"/>
        <v>93.196910150426888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IFERROR(__xludf.DUMMYFUNCTION("IMPORTRANGE(""https://docs.google.com/spreadsheets/d/1MeEWN-I1oV_STSDYn1IFDPWt_1FKiwhDph83XaGc0o0/edit?usp=sharing"",""งบพรบ!CE46"")"),22055)</f>
        <v>22055</v>
      </c>
      <c r="M170" s="899">
        <f ca="1">IFERROR(__xludf.DUMMYFUNCTION("IMPORTRANGE(""https://docs.google.com/spreadsheets/d/1MeEWN-I1oV_STSDYn1IFDPWt_1FKiwhDph83XaGc0o0/edit?usp=sharing"",""งบพรบ!CJ46"")"),36895)</f>
        <v>36895</v>
      </c>
      <c r="N170" s="899">
        <f ca="1">IFERROR(__xludf.DUMMYFUNCTION("IMPORTRANGE(""https://docs.google.com/spreadsheets/d/1MeEWN-I1oV_STSDYn1IFDPWt_1FKiwhDph83XaGc0o0/edit?usp=sharing"",""งบพรบ!CL46"")"),34385)</f>
        <v>34385</v>
      </c>
      <c r="O170" s="899">
        <f t="shared" ca="1" si="85"/>
        <v>155.90569031965541</v>
      </c>
      <c r="P170" s="899">
        <f t="shared" ca="1" si="86"/>
        <v>93.196910150426888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IFERROR(__xludf.DUMMYFUNCTION("IMPORTRANGE(""https://docs.google.com/spreadsheets/d/1MeEWN-I1oV_STSDYn1IFDPWt_1FKiwhDph83XaGc0o0/edit?usp=sharing"",""งบพรบ!CH46"")"),0)</f>
        <v>0</v>
      </c>
      <c r="M173" s="899">
        <f ca="1">IFERROR(__xludf.DUMMYFUNCTION("IMPORTRANGE(""https://docs.google.com/spreadsheets/d/1MeEWN-I1oV_STSDYn1IFDPWt_1FKiwhDph83XaGc0o0/edit?usp=sharing"",""งบพรบ!CK46"")"),0)</f>
        <v>0</v>
      </c>
      <c r="N173" s="899">
        <f ca="1">IFERROR(__xludf.DUMMYFUNCTION("IMPORTRANGE(""https://docs.google.com/spreadsheets/d/1MeEWN-I1oV_STSDYn1IFDPWt_1FKiwhDph83XaGc0o0/edit?usp=sharing"",""งบพรบ!CM46"")"),0)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IFERROR(__xludf.DUMMYFUNCTION("IMPORTRANGE(""https://docs.google.com/spreadsheets/d/1QqKyyYR6Q21VydFLVH3TRQUabQu_ym0Zz7PgGX0-kHA/edit?usp=sharing"",""แผน!Y46"")"),11)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108400</v>
      </c>
      <c r="M181" s="1004">
        <f t="shared" ca="1" si="92"/>
        <v>102500</v>
      </c>
      <c r="N181" s="1004">
        <f t="shared" ca="1" si="92"/>
        <v>71989.25</v>
      </c>
      <c r="O181" s="1004">
        <f t="shared" ref="O181:O189" ca="1" si="93">IF(L181&gt;0,N181*100/L181,0)</f>
        <v>66.410747232472332</v>
      </c>
      <c r="P181" s="1004">
        <f t="shared" ref="P181:P189" ca="1" si="94">IF(M181&gt;0,N181*100/M181,0)</f>
        <v>70.233414634146342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108400</v>
      </c>
      <c r="M183" s="899">
        <f t="shared" ca="1" si="95"/>
        <v>102500</v>
      </c>
      <c r="N183" s="899">
        <f t="shared" ca="1" si="95"/>
        <v>71989.25</v>
      </c>
      <c r="O183" s="899">
        <f t="shared" ca="1" si="93"/>
        <v>66.410747232472332</v>
      </c>
      <c r="P183" s="899">
        <f t="shared" ca="1" si="94"/>
        <v>70.233414634146342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108400</v>
      </c>
      <c r="M184" s="893">
        <f t="shared" ca="1" si="96"/>
        <v>102500</v>
      </c>
      <c r="N184" s="893">
        <f t="shared" ca="1" si="96"/>
        <v>71989.25</v>
      </c>
      <c r="O184" s="893">
        <f t="shared" ca="1" si="93"/>
        <v>66.410747232472332</v>
      </c>
      <c r="P184" s="893">
        <f t="shared" ca="1" si="94"/>
        <v>70.233414634146342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IFERROR(__xludf.DUMMYFUNCTION("IMPORTRANGE(""https://docs.google.com/spreadsheets/d/1MeEWN-I1oV_STSDYn1IFDPWt_1FKiwhDph83XaGc0o0/edit?usp=sharing"",""งบพรบ!CO46"")"),108400)</f>
        <v>108400</v>
      </c>
      <c r="M186" s="899">
        <f ca="1">IFERROR(__xludf.DUMMYFUNCTION("IMPORTRANGE(""https://docs.google.com/spreadsheets/d/1MeEWN-I1oV_STSDYn1IFDPWt_1FKiwhDph83XaGc0o0/edit?usp=sharing"",""งบพรบ!CT46"")"),102500)</f>
        <v>102500</v>
      </c>
      <c r="N186" s="899">
        <f ca="1">IFERROR(__xludf.DUMMYFUNCTION("IMPORTRANGE(""https://docs.google.com/spreadsheets/d/1MeEWN-I1oV_STSDYn1IFDPWt_1FKiwhDph83XaGc0o0/edit?usp=sharing"",""งบพรบ!CV46"")"),71989.25)</f>
        <v>71989.25</v>
      </c>
      <c r="O186" s="899">
        <f t="shared" ca="1" si="93"/>
        <v>66.410747232472332</v>
      </c>
      <c r="P186" s="899">
        <f t="shared" ca="1" si="94"/>
        <v>70.233414634146342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IFERROR(__xludf.DUMMYFUNCTION("IMPORTRANGE(""https://docs.google.com/spreadsheets/d/1MeEWN-I1oV_STSDYn1IFDPWt_1FKiwhDph83XaGc0o0/edit?usp=sharing"",""งบพรบ!CR46"")"),0)</f>
        <v>0</v>
      </c>
      <c r="M189" s="899">
        <f ca="1">IFERROR(__xludf.DUMMYFUNCTION("IMPORTRANGE(""https://docs.google.com/spreadsheets/d/1MeEWN-I1oV_STSDYn1IFDPWt_1FKiwhDph83XaGc0o0/edit?usp=sharing"",""งบพรบ!CU46"")"),0)</f>
        <v>0</v>
      </c>
      <c r="N189" s="899">
        <f ca="1">IFERROR(__xludf.DUMMYFUNCTION("IMPORTRANGE(""https://docs.google.com/spreadsheets/d/1MeEWN-I1oV_STSDYn1IFDPWt_1FKiwhDph83XaGc0o0/edit?usp=sharing"",""งบพรบ!CW46"")"),0)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IFERROR(__xludf.DUMMYFUNCTION("IMPORTRANGE(""https://docs.google.com/spreadsheets/d/1QqKyyYR6Q21VydFLVH3TRQUabQu_ym0Zz7PgGX0-kHA/edit?usp=sharing"",""แผน!Z46"")"),6000)</f>
        <v>6000</v>
      </c>
      <c r="M191" s="1004"/>
      <c r="N191" s="1092">
        <v>1000</v>
      </c>
      <c r="O191" s="1004">
        <f ca="1">IF(L191&gt;0,N191*100/L191,0)</f>
        <v>16.666666666666668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IFERROR(__xludf.DUMMYFUNCTION("IMPORTRANGE(""https://docs.google.com/spreadsheets/d/1QqKyyYR6Q21VydFLVH3TRQUabQu_ym0Zz7PgGX0-kHA/edit?usp=sharing"",""แผน!AC46"")"),4)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46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46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35834</v>
      </c>
      <c r="O198" s="1004">
        <f ca="1">IF(L198&gt;0,N198*100/L198,0)</f>
        <v>91.882051282051279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IFERROR(__xludf.DUMMYFUNCTION("IMPORTRANGE(""https://docs.google.com/spreadsheets/d/1QqKyyYR6Q21VydFLVH3TRQUabQu_ym0Zz7PgGX0-kHA/edit?usp=sharing"",""แผน!AE46"")"),3000)</f>
        <v>3000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IFERROR(__xludf.DUMMYFUNCTION("IMPORTRANGE(""https://docs.google.com/spreadsheets/d/1QqKyyYR6Q21VydFLVH3TRQUabQu_ym0Zz7PgGX0-kHA/edit?usp=sharing"",""แผน!AF46"")"),24000)</f>
        <v>24000</v>
      </c>
      <c r="M200" s="893"/>
      <c r="N200" s="1096">
        <v>23834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IFERROR(__xludf.DUMMYFUNCTION("IMPORTRANGE(""https://docs.google.com/spreadsheets/d/1QqKyyYR6Q21VydFLVH3TRQUabQu_ym0Zz7PgGX0-kHA/edit?usp=sharing"",""แผน!AG46"")"),12000)</f>
        <v>12000</v>
      </c>
      <c r="M201" s="893"/>
      <c r="N201" s="1096">
        <v>12000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IFERROR(__xludf.DUMMYFUNCTION("IMPORTRANGE(""https://docs.google.com/spreadsheets/d/1QqKyyYR6Q21VydFLVH3TRQUabQu_ym0Zz7PgGX0-kHA/edit?usp=sharing"",""แผน!AH46"")"),0)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IFERROR(__xludf.DUMMYFUNCTION("IMPORTRANGE(""https://docs.google.com/spreadsheets/d/1QqKyyYR6Q21VydFLVH3TRQUabQu_ym0Zz7PgGX0-kHA/edit?usp=sharing"",""แผน!AI46"")"),3)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3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4</v>
      </c>
      <c r="J208" s="1089">
        <f t="shared" si="101"/>
        <v>4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56000</v>
      </c>
      <c r="M209" s="1004"/>
      <c r="N209" s="1004">
        <f>N210+N211+N212</f>
        <v>35155.25</v>
      </c>
      <c r="O209" s="1004">
        <f ca="1">IF(L209&gt;0,N209*100/L209,0)</f>
        <v>62.777232142857144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IFERROR(__xludf.DUMMYFUNCTION("IMPORTRANGE(""https://docs.google.com/spreadsheets/d/1QqKyyYR6Q21VydFLVH3TRQUabQu_ym0Zz7PgGX0-kHA/edit?usp=sharing"",""แผน!AK46"")"),4000)</f>
        <v>4000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IFERROR(__xludf.DUMMYFUNCTION("IMPORTRANGE(""https://docs.google.com/spreadsheets/d/1QqKyyYR6Q21VydFLVH3TRQUabQu_ym0Zz7PgGX0-kHA/edit?usp=sharing"",""แผน!AL46"")"),20000)</f>
        <v>20000</v>
      </c>
      <c r="M211" s="893"/>
      <c r="N211" s="1096">
        <v>10000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IFERROR(__xludf.DUMMYFUNCTION("IMPORTRANGE(""https://docs.google.com/spreadsheets/d/1QqKyyYR6Q21VydFLVH3TRQUabQu_ym0Zz7PgGX0-kHA/edit?usp=sharing"",""แผน!AM46"")"),32000)</f>
        <v>32000</v>
      </c>
      <c r="M212" s="893"/>
      <c r="N212" s="1096">
        <v>25155.25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IFERROR(__xludf.DUMMYFUNCTION("IMPORTRANGE(""https://docs.google.com/spreadsheets/d/1QqKyyYR6Q21VydFLVH3TRQUabQu_ym0Zz7PgGX0-kHA/edit?usp=sharing"",""แผน!AN46"")"),4)</f>
        <v>4</v>
      </c>
      <c r="J214" s="1024">
        <v>2</v>
      </c>
      <c r="K214" s="893">
        <f t="shared" ref="K214:K216" ca="1" si="102">IF(I214&gt;0,J214*100/I214,0)</f>
        <v>50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IFERROR(__xludf.DUMMYFUNCTION("IMPORTRANGE(""https://docs.google.com/spreadsheets/d/1QqKyyYR6Q21VydFLVH3TRQUabQu_ym0Zz7PgGX0-kHA/edit?usp=sharing"",""แผน!AN46"")"),4)</f>
        <v>4</v>
      </c>
      <c r="J215" s="1024">
        <v>4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15000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7400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IFERROR(__xludf.DUMMYFUNCTION("IMPORTRANGE(""https://docs.google.com/spreadsheets/d/1QqKyyYR6Q21VydFLVH3TRQUabQu_ym0Zz7PgGX0-kHA/edit?usp=sharing"",""แผน!AP46"")"),3000)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IFERROR(__xludf.DUMMYFUNCTION("IMPORTRANGE(""https://docs.google.com/spreadsheets/d/1QqKyyYR6Q21VydFLVH3TRQUabQu_ym0Zz7PgGX0-kHA/edit?usp=sharing"",""แผน!AQ46"")"),4400)</f>
        <v>4400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IFERROR(__xludf.DUMMYFUNCTION("IMPORTRANGE(""https://docs.google.com/spreadsheets/d/1QqKyyYR6Q21VydFLVH3TRQUabQu_ym0Zz7PgGX0-kHA/edit?usp=sharing"",""แผน!AR46"")"),0)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IFERROR(__xludf.DUMMYFUNCTION("IMPORTRANGE(""https://docs.google.com/spreadsheets/d/1QqKyyYR6Q21VydFLVH3TRQUabQu_ym0Zz7PgGX0-kHA/edit?usp=sharing"",""แผน!AT46"")"),15000)</f>
        <v>15000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IFERROR(__xludf.DUMMYFUNCTION("IMPORTRANGE(""https://docs.google.com/spreadsheets/d/1QqKyyYR6Q21VydFLVH3TRQUabQu_ym0Zz7PgGX0-kHA/edit?usp=sharing"",""แผน!AT46"")"),15000)</f>
        <v>15000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IFERROR(__xludf.DUMMYFUNCTION("IMPORTRANGE(""https://docs.google.com/spreadsheets/d/1QqKyyYR6Q21VydFLVH3TRQUabQu_ym0Zz7PgGX0-kHA/edit?usp=sharing"",""แผน!AS46"")"),0)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IFERROR(__xludf.DUMMYFUNCTION("IMPORTRANGE(""https://docs.google.com/spreadsheets/d/1QqKyyYR6Q21VydFLVH3TRQUabQu_ym0Zz7PgGX0-kHA/edit?usp=sharing"",""แผน!AV46"")"),0)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IFERROR(__xludf.DUMMYFUNCTION("IMPORTRANGE(""https://docs.google.com/spreadsheets/d/1QqKyyYR6Q21VydFLVH3TRQUabQu_ym0Zz7PgGX0-kHA/edit?usp=sharing"",""แผน!AW46"")"),0)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IFERROR(__xludf.DUMMYFUNCTION("IMPORTRANGE(""https://docs.google.com/spreadsheets/d/1QqKyyYR6Q21VydFLVH3TRQUabQu_ym0Zz7PgGX0-kHA/edit?usp=sharing"",""แผน!AX46"")"),0)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IFERROR(__xludf.DUMMYFUNCTION("IMPORTRANGE(""https://docs.google.com/spreadsheets/d/1QqKyyYR6Q21VydFLVH3TRQUabQu_ym0Zz7PgGX0-kHA/edit?usp=sharing"",""แผน!AY46"")"),0)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IFERROR(__xludf.DUMMYFUNCTION("IMPORTRANGE(""https://docs.google.com/spreadsheets/d/1QqKyyYR6Q21VydFLVH3TRQUabQu_ym0Zz7PgGX0-kHA/edit?usp=sharing"",""แผน!BE46"")"),0)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IFERROR(__xludf.DUMMYFUNCTION("IMPORTRANGE(""https://docs.google.com/spreadsheets/d/1QqKyyYR6Q21VydFLVH3TRQUabQu_ym0Zz7PgGX0-kHA/edit?usp=sharing"",""แผน!AZ46"")"),0)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IFERROR(__xludf.DUMMYFUNCTION("IMPORTRANGE(""https://docs.google.com/spreadsheets/d/1QqKyyYR6Q21VydFLVH3TRQUabQu_ym0Zz7PgGX0-kHA/edit?usp=sharing"",""แผน!BA46"")"),0)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IFERROR(__xludf.DUMMYFUNCTION("IMPORTRANGE(""https://docs.google.com/spreadsheets/d/1QqKyyYR6Q21VydFLVH3TRQUabQu_ym0Zz7PgGX0-kHA/edit?usp=sharing"",""แผน!BB46"")"),0)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IFERROR(__xludf.DUMMYFUNCTION("IMPORTRANGE(""https://docs.google.com/spreadsheets/d/1QqKyyYR6Q21VydFLVH3TRQUabQu_ym0Zz7PgGX0-kHA/edit?usp=sharing"",""แผน!BC46"")"),0)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IFERROR(__xludf.DUMMYFUNCTION("IMPORTRANGE(""https://docs.google.com/spreadsheets/d/1QqKyyYR6Q21VydFLVH3TRQUabQu_ym0Zz7PgGX0-kHA/edit?usp=sharing"",""แผน!BF46"")"),0)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20475</v>
      </c>
      <c r="O261" s="1004">
        <f t="shared" ref="O261:O269" ca="1" si="117">IF(L261&gt;0,N261*100/L261,0)</f>
        <v>76.115241635687738</v>
      </c>
      <c r="P261" s="1004">
        <f t="shared" ref="P261:P269" ca="1" si="118">IF(M261&gt;0,N261*100/M261,0)</f>
        <v>85.669456066945614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20475</v>
      </c>
      <c r="O263" s="899">
        <f t="shared" ca="1" si="117"/>
        <v>76.115241635687738</v>
      </c>
      <c r="P263" s="899">
        <f t="shared" ca="1" si="118"/>
        <v>85.669456066945614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20475</v>
      </c>
      <c r="O264" s="893">
        <f t="shared" ca="1" si="117"/>
        <v>76.115241635687738</v>
      </c>
      <c r="P264" s="893">
        <f t="shared" ca="1" si="118"/>
        <v>85.669456066945614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IFERROR(__xludf.DUMMYFUNCTION("IMPORTRANGE(""https://docs.google.com/spreadsheets/d/1MeEWN-I1oV_STSDYn1IFDPWt_1FKiwhDph83XaGc0o0/edit?usp=sharing"",""งบพรบ!CY46"")"),26900)</f>
        <v>26900</v>
      </c>
      <c r="M266" s="899">
        <f ca="1">IFERROR(__xludf.DUMMYFUNCTION("IMPORTRANGE(""https://docs.google.com/spreadsheets/d/1MeEWN-I1oV_STSDYn1IFDPWt_1FKiwhDph83XaGc0o0/edit?usp=sharing"",""งบพรบ!DD46"")"),23900)</f>
        <v>23900</v>
      </c>
      <c r="N266" s="899">
        <f ca="1">IFERROR(__xludf.DUMMYFUNCTION("IMPORTRANGE(""https://docs.google.com/spreadsheets/d/1MeEWN-I1oV_STSDYn1IFDPWt_1FKiwhDph83XaGc0o0/edit?usp=sharing"",""งบพรบ!DF46"")"),20475)</f>
        <v>20475</v>
      </c>
      <c r="O266" s="899">
        <f t="shared" ca="1" si="117"/>
        <v>76.115241635687738</v>
      </c>
      <c r="P266" s="899">
        <f t="shared" ca="1" si="118"/>
        <v>85.669456066945614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IFERROR(__xludf.DUMMYFUNCTION("IMPORTRANGE(""https://docs.google.com/spreadsheets/d/1MeEWN-I1oV_STSDYn1IFDPWt_1FKiwhDph83XaGc0o0/edit?usp=sharing"",""งบพรบ!DB46"")"),0)</f>
        <v>0</v>
      </c>
      <c r="M269" s="899">
        <f ca="1">IFERROR(__xludf.DUMMYFUNCTION("IMPORTRANGE(""https://docs.google.com/spreadsheets/d/1MeEWN-I1oV_STSDYn1IFDPWt_1FKiwhDph83XaGc0o0/edit?usp=sharing"",""งบพรบ!DE46"")"),0)</f>
        <v>0</v>
      </c>
      <c r="N269" s="899">
        <f ca="1">IFERROR(__xludf.DUMMYFUNCTION("IMPORTRANGE(""https://docs.google.com/spreadsheets/d/1MeEWN-I1oV_STSDYn1IFDPWt_1FKiwhDph83XaGc0o0/edit?usp=sharing"",""งบพรบ!DG46"")"),0)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IFERROR(__xludf.DUMMYFUNCTION("IMPORTRANGE(""https://docs.google.com/spreadsheets/d/1QqKyyYR6Q21VydFLVH3TRQUabQu_ym0Zz7PgGX0-kHA/edit?usp=sharing"",""แผน!EA46"")"),22)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25</v>
      </c>
      <c r="J275" s="1170">
        <f t="shared" ca="1" si="122"/>
        <v>25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250</v>
      </c>
      <c r="J276" s="1170">
        <f t="shared" si="124"/>
        <v>250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542220</v>
      </c>
      <c r="M277" s="1004">
        <f t="shared" ca="1" si="125"/>
        <v>376020</v>
      </c>
      <c r="N277" s="1004">
        <f t="shared" ca="1" si="125"/>
        <v>267871.90000000002</v>
      </c>
      <c r="O277" s="1004">
        <f t="shared" ref="O277:O285" ca="1" si="126">IF(L277&gt;0,N277*100/L277,0)</f>
        <v>49.40280697871713</v>
      </c>
      <c r="P277" s="1004">
        <f t="shared" ref="P277:P285" ca="1" si="127">IF(M277&gt;0,N277*100/M277,0)</f>
        <v>71.238737301207394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542220</v>
      </c>
      <c r="M279" s="899">
        <f t="shared" ca="1" si="128"/>
        <v>376020</v>
      </c>
      <c r="N279" s="899">
        <f t="shared" ca="1" si="128"/>
        <v>267871.90000000002</v>
      </c>
      <c r="O279" s="899">
        <f t="shared" ca="1" si="126"/>
        <v>49.40280697871713</v>
      </c>
      <c r="P279" s="899">
        <f t="shared" ca="1" si="127"/>
        <v>71.238737301207394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542220</v>
      </c>
      <c r="M280" s="893">
        <f t="shared" ca="1" si="129"/>
        <v>376020</v>
      </c>
      <c r="N280" s="893">
        <f t="shared" ca="1" si="129"/>
        <v>267871.90000000002</v>
      </c>
      <c r="O280" s="893">
        <f t="shared" ca="1" si="126"/>
        <v>49.40280697871713</v>
      </c>
      <c r="P280" s="893">
        <f t="shared" ca="1" si="127"/>
        <v>71.238737301207394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IFERROR(__xludf.DUMMYFUNCTION("IMPORTRANGE(""https://docs.google.com/spreadsheets/d/1MeEWN-I1oV_STSDYn1IFDPWt_1FKiwhDph83XaGc0o0/edit?usp=sharing"",""งบพรบ!DI46"")"),542220)</f>
        <v>542220</v>
      </c>
      <c r="M282" s="899">
        <f ca="1">IFERROR(__xludf.DUMMYFUNCTION("IMPORTRANGE(""https://docs.google.com/spreadsheets/d/1MeEWN-I1oV_STSDYn1IFDPWt_1FKiwhDph83XaGc0o0/edit?usp=sharing"",""งบพรบ!DN46"")"),376020)</f>
        <v>376020</v>
      </c>
      <c r="N282" s="899">
        <f ca="1">IFERROR(__xludf.DUMMYFUNCTION("IMPORTRANGE(""https://docs.google.com/spreadsheets/d/1MeEWN-I1oV_STSDYn1IFDPWt_1FKiwhDph83XaGc0o0/edit?usp=sharing"",""งบพรบ!DP46"")"),267871.9)</f>
        <v>267871.90000000002</v>
      </c>
      <c r="O282" s="899">
        <f t="shared" ca="1" si="126"/>
        <v>49.40280697871713</v>
      </c>
      <c r="P282" s="899">
        <f t="shared" ca="1" si="127"/>
        <v>71.238737301207394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IFERROR(__xludf.DUMMYFUNCTION("IMPORTRANGE(""https://docs.google.com/spreadsheets/d/1MeEWN-I1oV_STSDYn1IFDPWt_1FKiwhDph83XaGc0o0/edit?usp=sharing"",""งบพรบ!DL46"")"),0)</f>
        <v>0</v>
      </c>
      <c r="M285" s="899">
        <f ca="1">IFERROR(__xludf.DUMMYFUNCTION("IMPORTRANGE(""https://docs.google.com/spreadsheets/d/1MeEWN-I1oV_STSDYn1IFDPWt_1FKiwhDph83XaGc0o0/edit?usp=sharing"",""งบพรบ!DO46"")"),0)</f>
        <v>0</v>
      </c>
      <c r="N285" s="899">
        <f ca="1">IFERROR(__xludf.DUMMYFUNCTION("IMPORTRANGE(""https://docs.google.com/spreadsheets/d/1MeEWN-I1oV_STSDYn1IFDPWt_1FKiwhDph83XaGc0o0/edit?usp=sharing"",""งบพรบ!DQ46"")"),0)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IFERROR(__xludf.DUMMYFUNCTION("IMPORTRANGE(""https://docs.google.com/spreadsheets/d/1QqKyyYR6Q21VydFLVH3TRQUabQu_ym0Zz7PgGX0-kHA/edit?usp=sharing"",""แผน!EC46"")"),250)</f>
        <v>250</v>
      </c>
      <c r="J287" s="1024">
        <v>250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IFERROR(__xludf.DUMMYFUNCTION("IMPORTRANGE(""https://docs.google.com/spreadsheets/d/1QqKyyYR6Q21VydFLVH3TRQUabQu_ym0Zz7PgGX0-kHA/edit?usp=sharing"",""แผน!EB46"")"),25)</f>
        <v>25</v>
      </c>
      <c r="J288" s="1031">
        <f ca="1">IF(AND(J291&gt;=I288,J294&gt;=I288),J294,0)</f>
        <v>25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IFERROR(__xludf.DUMMYFUNCTION("IMPORTRANGE(""https://docs.google.com/spreadsheets/d/1QqKyyYR6Q21VydFLVH3TRQUabQu_ym0Zz7PgGX0-kHA/edit?usp=sharing"",""แผน!EB46"")"),25)</f>
        <v>25</v>
      </c>
      <c r="J290" s="1024">
        <v>25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IFERROR(__xludf.DUMMYFUNCTION("IMPORTRANGE(""https://docs.google.com/spreadsheets/d/1QqKyyYR6Q21VydFLVH3TRQUabQu_ym0Zz7PgGX0-kHA/edit?usp=sharing"",""แผน!EB46"")"),25)</f>
        <v>25</v>
      </c>
      <c r="J291" s="1024">
        <v>25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IFERROR(__xludf.DUMMYFUNCTION("IMPORTRANGE(""https://docs.google.com/spreadsheets/d/1QqKyyYR6Q21VydFLVH3TRQUabQu_ym0Zz7PgGX0-kHA/edit?usp=sharing"",""แผน!EB46"")"),25)</f>
        <v>25</v>
      </c>
      <c r="J293" s="1024">
        <v>25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IFERROR(__xludf.DUMMYFUNCTION("IMPORTRANGE(""https://docs.google.com/spreadsheets/d/1QqKyyYR6Q21VydFLVH3TRQUabQu_ym0Zz7PgGX0-kHA/edit?usp=sharing"",""แผน!EB46"")"),25)</f>
        <v>25</v>
      </c>
      <c r="J294" s="1183">
        <v>25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64223</v>
      </c>
      <c r="O298" s="1004">
        <f t="shared" ref="O298:O306" ca="1" si="136">IF(L298&gt;0,N298*100/L298,0)</f>
        <v>77.940533980582529</v>
      </c>
      <c r="P298" s="1004">
        <f t="shared" ref="P298:P306" ca="1" si="137">IF(M298&gt;0,N298*100/M298,0)</f>
        <v>99.725155279503099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64223</v>
      </c>
      <c r="O300" s="899">
        <f t="shared" ca="1" si="136"/>
        <v>77.940533980582529</v>
      </c>
      <c r="P300" s="899">
        <f t="shared" ca="1" si="137"/>
        <v>99.725155279503099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64223</v>
      </c>
      <c r="O301" s="893">
        <f t="shared" ca="1" si="136"/>
        <v>77.940533980582529</v>
      </c>
      <c r="P301" s="893">
        <f t="shared" ca="1" si="137"/>
        <v>99.725155279503099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IFERROR(__xludf.DUMMYFUNCTION("IMPORTRANGE(""https://docs.google.com/spreadsheets/d/1MeEWN-I1oV_STSDYn1IFDPWt_1FKiwhDph83XaGc0o0/edit?usp=sharing"",""งบพรบ!DS46"")"),82400)</f>
        <v>82400</v>
      </c>
      <c r="M303" s="899">
        <f ca="1">IFERROR(__xludf.DUMMYFUNCTION("IMPORTRANGE(""https://docs.google.com/spreadsheets/d/1MeEWN-I1oV_STSDYn1IFDPWt_1FKiwhDph83XaGc0o0/edit?usp=sharing"",""งบพรบ!DX46"")"),64400)</f>
        <v>64400</v>
      </c>
      <c r="N303" s="899">
        <f ca="1">IFERROR(__xludf.DUMMYFUNCTION("IMPORTRANGE(""https://docs.google.com/spreadsheets/d/1MeEWN-I1oV_STSDYn1IFDPWt_1FKiwhDph83XaGc0o0/edit?usp=sharing"",""งบพรบ!DZ46"")"),64223)</f>
        <v>64223</v>
      </c>
      <c r="O303" s="899">
        <f t="shared" ca="1" si="136"/>
        <v>77.940533980582529</v>
      </c>
      <c r="P303" s="899">
        <f t="shared" ca="1" si="137"/>
        <v>99.725155279503099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IFERROR(__xludf.DUMMYFUNCTION("IMPORTRANGE(""https://docs.google.com/spreadsheets/d/1MeEWN-I1oV_STSDYn1IFDPWt_1FKiwhDph83XaGc0o0/edit?usp=sharing"",""งบพรบ!DV46"")"),0)</f>
        <v>0</v>
      </c>
      <c r="M306" s="899">
        <f ca="1">IFERROR(__xludf.DUMMYFUNCTION("IMPORTRANGE(""https://docs.google.com/spreadsheets/d/1MeEWN-I1oV_STSDYn1IFDPWt_1FKiwhDph83XaGc0o0/edit?usp=sharing"",""งบพรบ!DY46"")"),0)</f>
        <v>0</v>
      </c>
      <c r="N306" s="899">
        <f ca="1">IFERROR(__xludf.DUMMYFUNCTION("IMPORTRANGE(""https://docs.google.com/spreadsheets/d/1MeEWN-I1oV_STSDYn1IFDPWt_1FKiwhDph83XaGc0o0/edit?usp=sharing"",""งบพรบ!EA46"")"),0)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IFERROR(__xludf.DUMMYFUNCTION("IMPORTRANGE(""https://docs.google.com/spreadsheets/d/1QqKyyYR6Q21VydFLVH3TRQUabQu_ym0Zz7PgGX0-kHA/edit?usp=sharing"",""แผน!ED46"")"),20)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IFERROR(__xludf.DUMMYFUNCTION("IMPORTRANGE(""https://docs.google.com/spreadsheets/d/1QqKyyYR6Q21VydFLVH3TRQUabQu_ym0Zz7PgGX0-kHA/edit?usp=sharing"",""แผน!ED46"")"),20)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IFERROR(__xludf.DUMMYFUNCTION("IMPORTRANGE(""https://docs.google.com/spreadsheets/d/1QqKyyYR6Q21VydFLVH3TRQUabQu_ym0Zz7PgGX0-kHA/edit?usp=sharing"",""แผน!ED46"")"),20)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IFERROR(__xludf.DUMMYFUNCTION("IMPORTRANGE(""https://docs.google.com/spreadsheets/d/1QqKyyYR6Q21VydFLVH3TRQUabQu_ym0Zz7PgGX0-kHA/edit?usp=sharing"",""แผน!EE46"")"),4)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IFERROR(__xludf.DUMMYFUNCTION("IMPORTRANGE(""https://docs.google.com/spreadsheets/d/1MeEWN-I1oV_STSDYn1IFDPWt_1FKiwhDph83XaGc0o0/edit?usp=sharing"",""งบพรบ!EC46"")"),0)</f>
        <v>0</v>
      </c>
      <c r="M320" s="899">
        <f ca="1">IFERROR(__xludf.DUMMYFUNCTION("IMPORTRANGE(""https://docs.google.com/spreadsheets/d/1MeEWN-I1oV_STSDYn1IFDPWt_1FKiwhDph83XaGc0o0/edit?usp=sharing"",""งบพรบ!EH46"")"),0)</f>
        <v>0</v>
      </c>
      <c r="N320" s="899">
        <f ca="1">IFERROR(__xludf.DUMMYFUNCTION("IMPORTRANGE(""https://docs.google.com/spreadsheets/d/1MeEWN-I1oV_STSDYn1IFDPWt_1FKiwhDph83XaGc0o0/edit?usp=sharing"",""งบพรบ!EJ46"")"),0)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IFERROR(__xludf.DUMMYFUNCTION("IMPORTRANGE(""https://docs.google.com/spreadsheets/d/1MeEWN-I1oV_STSDYn1IFDPWt_1FKiwhDph83XaGc0o0/edit?usp=sharing"",""งบพรบ!EF46"")"),0)</f>
        <v>0</v>
      </c>
      <c r="M323" s="899">
        <f ca="1">IFERROR(__xludf.DUMMYFUNCTION("IMPORTRANGE(""https://docs.google.com/spreadsheets/d/1MeEWN-I1oV_STSDYn1IFDPWt_1FKiwhDph83XaGc0o0/edit?usp=sharing"",""งบพรบ!EI46"")"),0)</f>
        <v>0</v>
      </c>
      <c r="N323" s="899">
        <f ca="1">IFERROR(__xludf.DUMMYFUNCTION("IMPORTRANGE(""https://docs.google.com/spreadsheets/d/1MeEWN-I1oV_STSDYn1IFDPWt_1FKiwhDph83XaGc0o0/edit?usp=sharing"",""งบพรบ!EK46"")"),0)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IFERROR(__xludf.DUMMYFUNCTION("IMPORTRANGE(""https://docs.google.com/spreadsheets/d/1QqKyyYR6Q21VydFLVH3TRQUabQu_ym0Zz7PgGX0-kHA/edit?usp=sharing"",""แผน!EF46"")"),0)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IFERROR(__xludf.DUMMYFUNCTION("IMPORTRANGE(""https://docs.google.com/spreadsheets/d/1QqKyyYR6Q21VydFLVH3TRQUabQu_ym0Zz7PgGX0-kHA/edit?usp=sharing"",""แผน!EG46"")"),5300)</f>
        <v>5300</v>
      </c>
      <c r="J327" s="1202">
        <f ca="1">J338+J341+J342+J343</f>
        <v>3647</v>
      </c>
      <c r="K327" s="1203">
        <f ca="1">IF(I327&gt;0,J327*100/I327,0)</f>
        <v>68.811320754716988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178000</v>
      </c>
      <c r="M328" s="1004">
        <f t="shared" ca="1" si="149"/>
        <v>136000</v>
      </c>
      <c r="N328" s="1004">
        <f t="shared" ca="1" si="149"/>
        <v>128830</v>
      </c>
      <c r="O328" s="1004">
        <f t="shared" ref="O328:O336" ca="1" si="150">IF(L328&gt;0,N328*100/L328,0)</f>
        <v>72.376404494382029</v>
      </c>
      <c r="P328" s="1004">
        <f t="shared" ref="P328:P336" ca="1" si="151">IF(M328&gt;0,N328*100/M328,0)</f>
        <v>94.727941176470594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178000</v>
      </c>
      <c r="M330" s="899">
        <f t="shared" ca="1" si="152"/>
        <v>136000</v>
      </c>
      <c r="N330" s="899">
        <f t="shared" ca="1" si="152"/>
        <v>128830</v>
      </c>
      <c r="O330" s="899">
        <f t="shared" ca="1" si="150"/>
        <v>72.376404494382029</v>
      </c>
      <c r="P330" s="899">
        <f t="shared" ca="1" si="151"/>
        <v>94.727941176470594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178000</v>
      </c>
      <c r="M331" s="893">
        <f t="shared" ca="1" si="153"/>
        <v>136000</v>
      </c>
      <c r="N331" s="893">
        <f t="shared" ca="1" si="153"/>
        <v>128830</v>
      </c>
      <c r="O331" s="893">
        <f t="shared" ca="1" si="150"/>
        <v>72.376404494382029</v>
      </c>
      <c r="P331" s="893">
        <f t="shared" ca="1" si="151"/>
        <v>94.727941176470594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IFERROR(__xludf.DUMMYFUNCTION("IMPORTRANGE(""https://docs.google.com/spreadsheets/d/1MeEWN-I1oV_STSDYn1IFDPWt_1FKiwhDph83XaGc0o0/edit?usp=sharing"",""งบพรบ!EM46"")"),178000)</f>
        <v>178000</v>
      </c>
      <c r="M333" s="899">
        <f ca="1">IFERROR(__xludf.DUMMYFUNCTION("IMPORTRANGE(""https://docs.google.com/spreadsheets/d/1MeEWN-I1oV_STSDYn1IFDPWt_1FKiwhDph83XaGc0o0/edit?usp=sharing"",""งบพรบ!ER46"")"),136000)</f>
        <v>136000</v>
      </c>
      <c r="N333" s="899">
        <f ca="1">IFERROR(__xludf.DUMMYFUNCTION("IMPORTRANGE(""https://docs.google.com/spreadsheets/d/1MeEWN-I1oV_STSDYn1IFDPWt_1FKiwhDph83XaGc0o0/edit?usp=sharing"",""งบพรบ!ET46"")"),128830)</f>
        <v>128830</v>
      </c>
      <c r="O333" s="899">
        <f t="shared" ca="1" si="150"/>
        <v>72.376404494382029</v>
      </c>
      <c r="P333" s="899">
        <f t="shared" ca="1" si="151"/>
        <v>94.727941176470594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IFERROR(__xludf.DUMMYFUNCTION("IMPORTRANGE(""https://docs.google.com/spreadsheets/d/1MeEWN-I1oV_STSDYn1IFDPWt_1FKiwhDph83XaGc0o0/edit?usp=sharing"",""งบพรบ!EP46"")"),0)</f>
        <v>0</v>
      </c>
      <c r="M336" s="899">
        <f ca="1">IFERROR(__xludf.DUMMYFUNCTION("IMPORTRANGE(""https://docs.google.com/spreadsheets/d/1MeEWN-I1oV_STSDYn1IFDPWt_1FKiwhDph83XaGc0o0/edit?usp=sharing"",""งบพรบ!ES46"")"),0)</f>
        <v>0</v>
      </c>
      <c r="N336" s="899">
        <f ca="1">IFERROR(__xludf.DUMMYFUNCTION("IMPORTRANGE(""https://docs.google.com/spreadsheets/d/1MeEWN-I1oV_STSDYn1IFDPWt_1FKiwhDph83XaGc0o0/edit?usp=sharing"",""งบพรบ!EU46"")"),0)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IFERROR(__xludf.DUMMYFUNCTION("IMPORTRANGE(""https://docs.google.com/spreadsheets/d/1QqKyyYR6Q21VydFLVH3TRQUabQu_ym0Zz7PgGX0-kHA/edit?usp=sharing"",""แผน!EG46"")"),5300)</f>
        <v>5300</v>
      </c>
      <c r="J338" s="892">
        <f ca="1">IFERROR(__xludf.DUMMYFUNCTION("IMPORTRANGE(""https://docs.google.com/spreadsheets/d/1kVcqe37tkHyjCSG3S0O1AXqVkqjo8mSIZil3BcpIysc/edit?usp=sharing"",""ศูนย์!D46"")"),3359)</f>
        <v>3359</v>
      </c>
      <c r="K338" s="893">
        <f ca="1">IF(I338&gt;0,J338*100/I338,0)</f>
        <v>63.377358490566039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IFERROR(__xludf.DUMMYFUNCTION("IMPORTRANGE(""https://docs.google.com/spreadsheets/d/1QqKyyYR6Q21VydFLVH3TRQUabQu_ym0Zz7PgGX0-kHA/edit?usp=sharing"",""แผน!EH46"")"),5)</f>
        <v>5</v>
      </c>
      <c r="J340" s="892">
        <f ca="1">IFERROR(__xludf.DUMMYFUNCTION("IMPORTRANGE(""https://docs.google.com/spreadsheets/d/1kVcqe37tkHyjCSG3S0O1AXqVkqjo8mSIZil3BcpIysc/edit?usp=sharing"",""ศูนย์!E46"")"),2)</f>
        <v>2</v>
      </c>
      <c r="K340" s="893">
        <f ca="1">IF(I340&gt;0,J340*100/I340,0)</f>
        <v>40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IFERROR(__xludf.DUMMYFUNCTION("IMPORTRANGE(""https://docs.google.com/spreadsheets/d/1kVcqe37tkHyjCSG3S0O1AXqVkqjo8mSIZil3BcpIysc/edit?usp=sharing"",""ศูนย์!F46"")"),256)</f>
        <v>256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IFERROR(__xludf.DUMMYFUNCTION("IMPORTRANGE(""https://docs.google.com/spreadsheets/d/1kVcqe37tkHyjCSG3S0O1AXqVkqjo8mSIZil3BcpIysc/edit?usp=sharing"",""ศูนย์!G46"")"),3)</f>
        <v>3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IFERROR(__xludf.DUMMYFUNCTION("IMPORTRANGE(""https://docs.google.com/spreadsheets/d/1kVcqe37tkHyjCSG3S0O1AXqVkqjo8mSIZil3BcpIysc/edit?usp=sharing"",""ศูนย์!H46"")"),29)</f>
        <v>29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2144960</v>
      </c>
      <c r="M345" s="1004">
        <f t="shared" ca="1" si="155"/>
        <v>1798016</v>
      </c>
      <c r="N345" s="1004">
        <f t="shared" ca="1" si="155"/>
        <v>1186065.6000000001</v>
      </c>
      <c r="O345" s="1004">
        <f t="shared" ref="O345:O353" ca="1" si="156">IF(L345&gt;0,N345*100/L345,0)</f>
        <v>55.29546471729077</v>
      </c>
      <c r="P345" s="1004">
        <f t="shared" ref="P345:P353" ca="1" si="157">IF(M345&gt;0,N345*100/M345,0)</f>
        <v>65.9652416886168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2144960</v>
      </c>
      <c r="M347" s="899">
        <f t="shared" ca="1" si="158"/>
        <v>1798016</v>
      </c>
      <c r="N347" s="899">
        <f t="shared" ca="1" si="158"/>
        <v>1186065.6000000001</v>
      </c>
      <c r="O347" s="899">
        <f t="shared" ca="1" si="156"/>
        <v>55.29546471729077</v>
      </c>
      <c r="P347" s="899">
        <f t="shared" ca="1" si="157"/>
        <v>65.9652416886168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1977760</v>
      </c>
      <c r="M348" s="893">
        <f t="shared" ca="1" si="159"/>
        <v>1632996</v>
      </c>
      <c r="N348" s="893">
        <f t="shared" ca="1" si="159"/>
        <v>1021045.6</v>
      </c>
      <c r="O348" s="893">
        <f t="shared" ca="1" si="156"/>
        <v>51.626365180810616</v>
      </c>
      <c r="P348" s="893">
        <f t="shared" ca="1" si="157"/>
        <v>62.525909432723658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IFERROR(__xludf.DUMMYFUNCTION("IMPORTRANGE(""https://docs.google.com/spreadsheets/d/1MeEWN-I1oV_STSDYn1IFDPWt_1FKiwhDph83XaGc0o0/edit?usp=sharing"",""งบพรบ!EW46"")"),1977760)</f>
        <v>1977760</v>
      </c>
      <c r="M350" s="899">
        <f ca="1">IFERROR(__xludf.DUMMYFUNCTION("IMPORTRANGE(""https://docs.google.com/spreadsheets/d/1MeEWN-I1oV_STSDYn1IFDPWt_1FKiwhDph83XaGc0o0/edit?usp=sharing"",""งบพรบ!FB46"")"),1632996)</f>
        <v>1632996</v>
      </c>
      <c r="N350" s="899">
        <f ca="1">IFERROR(__xludf.DUMMYFUNCTION("IMPORTRANGE(""https://docs.google.com/spreadsheets/d/1MeEWN-I1oV_STSDYn1IFDPWt_1FKiwhDph83XaGc0o0/edit?usp=sharing"",""งบพรบ!FD46"")"),1021045.6)</f>
        <v>1021045.6</v>
      </c>
      <c r="O350" s="899">
        <f t="shared" ca="1" si="156"/>
        <v>51.626365180810616</v>
      </c>
      <c r="P350" s="899">
        <f t="shared" ca="1" si="157"/>
        <v>62.525909432723658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167200</v>
      </c>
      <c r="M351" s="893">
        <f t="shared" ca="1" si="160"/>
        <v>165020</v>
      </c>
      <c r="N351" s="893">
        <f t="shared" ca="1" si="160"/>
        <v>165020</v>
      </c>
      <c r="O351" s="893">
        <f t="shared" ca="1" si="156"/>
        <v>98.696172248803833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IFERROR(__xludf.DUMMYFUNCTION("IMPORTRANGE(""https://docs.google.com/spreadsheets/d/1MeEWN-I1oV_STSDYn1IFDPWt_1FKiwhDph83XaGc0o0/edit?usp=sharing"",""งบพรบ!EZ46"")"),167200)</f>
        <v>167200</v>
      </c>
      <c r="M353" s="899">
        <f ca="1">IFERROR(__xludf.DUMMYFUNCTION("IMPORTRANGE(""https://docs.google.com/spreadsheets/d/1MeEWN-I1oV_STSDYn1IFDPWt_1FKiwhDph83XaGc0o0/edit?usp=sharing"",""งบพรบ!FC46"")"),165020)</f>
        <v>165020</v>
      </c>
      <c r="N353" s="899">
        <f ca="1">IFERROR(__xludf.DUMMYFUNCTION("IMPORTRANGE(""https://docs.google.com/spreadsheets/d/1MeEWN-I1oV_STSDYn1IFDPWt_1FKiwhDph83XaGc0o0/edit?usp=sharing"",""งบพรบ!FE46"")"),165020)</f>
        <v>165020</v>
      </c>
      <c r="O353" s="899">
        <f t="shared" ca="1" si="156"/>
        <v>98.696172248803833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IFERROR(__xludf.DUMMYFUNCTION("IMPORTRANGE(""https://docs.google.com/spreadsheets/d/1QqKyyYR6Q21VydFLVH3TRQUabQu_ym0Zz7PgGX0-kHA/edit?usp=sharing"",""แผน!EP46"")"),1000)</f>
        <v>1000</v>
      </c>
      <c r="J355" s="1218">
        <f ca="1">J362</f>
        <v>410</v>
      </c>
      <c r="K355" s="1219">
        <f ca="1">IF(I355&gt;0,J355*100/I355,0)</f>
        <v>41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IFERROR(__xludf.DUMMYFUNCTION("IMPORTRANGE(""https://docs.google.com/spreadsheets/d/1XWAQStnk-4SwqDmLtmXYiTMKHgktTP8We1SCoS47DrQ/edit?usp=sharing"",""จัดที่ดิน!W46"")"),747)</f>
        <v>747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IFERROR(__xludf.DUMMYFUNCTION("IMPORTRANGE(""https://docs.google.com/spreadsheets/d/1QqKyyYR6Q21VydFLVH3TRQUabQu_ym0Zz7PgGX0-kHA/edit?usp=sharing"",""แผน!EO46"")"),10000)</f>
        <v>10000</v>
      </c>
      <c r="J359" s="892">
        <f ca="1">IFERROR(__xludf.DUMMYFUNCTION("IMPORTRANGE(""https://docs.google.com/spreadsheets/d/1XWAQStnk-4SwqDmLtmXYiTMKHgktTP8We1SCoS47DrQ/edit?usp=sharing"",""จัดที่ดิน!X46"")"),4813.04)</f>
        <v>4813.04</v>
      </c>
      <c r="K359" s="893">
        <f t="shared" ca="1" si="161"/>
        <v>48.130400000000002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IFERROR(__xludf.DUMMYFUNCTION("IMPORTRANGE(""https://docs.google.com/spreadsheets/d/1QqKyyYR6Q21VydFLVH3TRQUabQu_ym0Zz7PgGX0-kHA/edit?usp=sharing"",""แผน!EP46"")"),1000)</f>
        <v>1000</v>
      </c>
      <c r="J360" s="892">
        <f ca="1">IFERROR(__xludf.DUMMYFUNCTION("IMPORTRANGE(""https://docs.google.com/spreadsheets/d/1XWAQStnk-4SwqDmLtmXYiTMKHgktTP8We1SCoS47DrQ/edit?usp=sharing"",""จัดที่ดิน!Y46"")"),614)</f>
        <v>614</v>
      </c>
      <c r="K360" s="893">
        <f t="shared" ca="1" si="161"/>
        <v>61.4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IFERROR(__xludf.DUMMYFUNCTION("IMPORTRANGE(""https://docs.google.com/spreadsheets/d/1XWAQStnk-4SwqDmLtmXYiTMKHgktTP8We1SCoS47DrQ/edit?usp=sharing"",""จัดที่ดิน!Z46"")"),3863.46)</f>
        <v>3863.46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IFERROR(__xludf.DUMMYFUNCTION("IMPORTRANGE(""https://docs.google.com/spreadsheets/d/1QqKyyYR6Q21VydFLVH3TRQUabQu_ym0Zz7PgGX0-kHA/edit?usp=sharing"",""แผน!EP46"")"),1000)</f>
        <v>1000</v>
      </c>
      <c r="J362" s="892">
        <f ca="1">IFERROR(__xludf.DUMMYFUNCTION("IMPORTRANGE(""https://docs.google.com/spreadsheets/d/1XWAQStnk-4SwqDmLtmXYiTMKHgktTP8We1SCoS47DrQ/edit?usp=sharing"",""จัดที่ดิน!AA46"")"),410)</f>
        <v>410</v>
      </c>
      <c r="K362" s="893">
        <f t="shared" ca="1" si="161"/>
        <v>41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IFERROR(__xludf.DUMMYFUNCTION("IMPORTRANGE(""https://docs.google.com/spreadsheets/d/1XWAQStnk-4SwqDmLtmXYiTMKHgktTP8We1SCoS47DrQ/edit?usp=sharing"",""จัดที่ดิน!AB46"")"),2661.94)</f>
        <v>2661.94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2200</v>
      </c>
      <c r="J364" s="1231">
        <f t="shared" ca="1" si="162"/>
        <v>914</v>
      </c>
      <c r="K364" s="1232">
        <f t="shared" ca="1" si="161"/>
        <v>41.545454545454547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IFERROR(__xludf.DUMMYFUNCTION("IMPORTRANGE(""https://docs.google.com/spreadsheets/d/1QqKyyYR6Q21VydFLVH3TRQUabQu_ym0Zz7PgGX0-kHA/edit?usp=sharing"",""แผน!EJ46"")"),300)</f>
        <v>300</v>
      </c>
      <c r="J365" s="1239">
        <f ca="1">J372</f>
        <v>140</v>
      </c>
      <c r="K365" s="1240">
        <f t="shared" ca="1" si="161"/>
        <v>46.666666666666664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IFERROR(__xludf.DUMMYFUNCTION("IMPORTRANGE(""https://docs.google.com/spreadsheets/d/1XWAQStnk-4SwqDmLtmXYiTMKHgktTP8We1SCoS47DrQ/edit?usp=sharing"",""จัดที่ดิน!E46"")"),195)</f>
        <v>195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IFERROR(__xludf.DUMMYFUNCTION("IMPORTRANGE(""https://docs.google.com/spreadsheets/d/1QqKyyYR6Q21VydFLVH3TRQUabQu_ym0Zz7PgGX0-kHA/edit?usp=sharing"",""แผน!EI46"")"),3000)</f>
        <v>3000</v>
      </c>
      <c r="J369" s="892">
        <f ca="1">IFERROR(__xludf.DUMMYFUNCTION("IMPORTRANGE(""https://docs.google.com/spreadsheets/d/1XWAQStnk-4SwqDmLtmXYiTMKHgktTP8We1SCoS47DrQ/edit?usp=sharing"",""จัดที่ดิน!F46"")"),1022.75)</f>
        <v>1022.75</v>
      </c>
      <c r="K369" s="893">
        <f t="shared" ca="1" si="163"/>
        <v>34.091666666666669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IFERROR(__xludf.DUMMYFUNCTION("IMPORTRANGE(""https://docs.google.com/spreadsheets/d/1QqKyyYR6Q21VydFLVH3TRQUabQu_ym0Zz7PgGX0-kHA/edit?usp=sharing"",""แผน!EJ46"")"),300)</f>
        <v>300</v>
      </c>
      <c r="J370" s="892">
        <f ca="1">IFERROR(__xludf.DUMMYFUNCTION("IMPORTRANGE(""https://docs.google.com/spreadsheets/d/1XWAQStnk-4SwqDmLtmXYiTMKHgktTP8We1SCoS47DrQ/edit?usp=sharing"",""จัดที่ดิน!G46"")"),140)</f>
        <v>140</v>
      </c>
      <c r="K370" s="893">
        <f t="shared" ca="1" si="163"/>
        <v>46.666666666666664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IFERROR(__xludf.DUMMYFUNCTION("IMPORTRANGE(""https://docs.google.com/spreadsheets/d/1XWAQStnk-4SwqDmLtmXYiTMKHgktTP8We1SCoS47DrQ/edit?usp=sharing"",""จัดที่ดิน!H46"")"),717.81)</f>
        <v>717.81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IFERROR(__xludf.DUMMYFUNCTION("IMPORTRANGE(""https://docs.google.com/spreadsheets/d/1QqKyyYR6Q21VydFLVH3TRQUabQu_ym0Zz7PgGX0-kHA/edit?usp=sharing"",""แผน!EJ46"")"),300)</f>
        <v>300</v>
      </c>
      <c r="J372" s="892">
        <f ca="1">IFERROR(__xludf.DUMMYFUNCTION("IMPORTRANGE(""https://docs.google.com/spreadsheets/d/1XWAQStnk-4SwqDmLtmXYiTMKHgktTP8We1SCoS47DrQ/edit?usp=sharing"",""จัดที่ดิน!I46"")"),140)</f>
        <v>140</v>
      </c>
      <c r="K372" s="893">
        <f t="shared" ca="1" si="163"/>
        <v>46.666666666666664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IFERROR(__xludf.DUMMYFUNCTION("IMPORTRANGE(""https://docs.google.com/spreadsheets/d/1XWAQStnk-4SwqDmLtmXYiTMKHgktTP8We1SCoS47DrQ/edit?usp=sharing"",""จัดที่ดิน!J46"")"),717.81)</f>
        <v>717.81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IFERROR(__xludf.DUMMYFUNCTION("IMPORTRANGE(""https://docs.google.com/spreadsheets/d/1QqKyyYR6Q21VydFLVH3TRQUabQu_ym0Zz7PgGX0-kHA/edit?usp=sharing"",""แผน!EU46"")"),1900)</f>
        <v>1900</v>
      </c>
      <c r="J374" s="1239">
        <f ca="1">J381</f>
        <v>774</v>
      </c>
      <c r="K374" s="1240">
        <f t="shared" ca="1" si="163"/>
        <v>40.736842105263158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IFERROR(__xludf.DUMMYFUNCTION("IMPORTRANGE(""https://docs.google.com/spreadsheets/d/1XWAQStnk-4SwqDmLtmXYiTMKHgktTP8We1SCoS47DrQ/edit?usp=sharing"",""จัดที่ดิน!AH46"")"),552)</f>
        <v>552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IFERROR(__xludf.DUMMYFUNCTION("IMPORTRANGE(""https://docs.google.com/spreadsheets/d/1QqKyyYR6Q21VydFLVH3TRQUabQu_ym0Zz7PgGX0-kHA/edit?usp=sharing"",""แผน!ET46"")"),7000)</f>
        <v>7000</v>
      </c>
      <c r="J378" s="892">
        <f ca="1">IFERROR(__xludf.DUMMYFUNCTION("IMPORTRANGE(""https://docs.google.com/spreadsheets/d/1XWAQStnk-4SwqDmLtmXYiTMKHgktTP8We1SCoS47DrQ/edit?usp=sharing"",""จัดที่ดิน!AI46"")"),3790.29)</f>
        <v>3790.29</v>
      </c>
      <c r="K378" s="893">
        <f t="shared" ca="1" si="164"/>
        <v>54.146999999999998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IFERROR(__xludf.DUMMYFUNCTION("IMPORTRANGE(""https://docs.google.com/spreadsheets/d/1QqKyyYR6Q21VydFLVH3TRQUabQu_ym0Zz7PgGX0-kHA/edit?usp=sharing"",""แผน!EU46"")"),1900)</f>
        <v>1900</v>
      </c>
      <c r="J379" s="892">
        <f ca="1">IFERROR(__xludf.DUMMYFUNCTION("IMPORTRANGE(""https://docs.google.com/spreadsheets/d/1XWAQStnk-4SwqDmLtmXYiTMKHgktTP8We1SCoS47DrQ/edit?usp=sharing"",""จัดที่ดิน!AJ46"")"),1047)</f>
        <v>1047</v>
      </c>
      <c r="K379" s="893">
        <f t="shared" ca="1" si="164"/>
        <v>55.10526315789474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IFERROR(__xludf.DUMMYFUNCTION("IMPORTRANGE(""https://docs.google.com/spreadsheets/d/1XWAQStnk-4SwqDmLtmXYiTMKHgktTP8We1SCoS47DrQ/edit?usp=sharing"",""จัดที่ดิน!AK46"")"),8841.07)</f>
        <v>8841.07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IFERROR(__xludf.DUMMYFUNCTION("IMPORTRANGE(""https://docs.google.com/spreadsheets/d/1QqKyyYR6Q21VydFLVH3TRQUabQu_ym0Zz7PgGX0-kHA/edit?usp=sharing"",""แผน!EU46"")"),1900)</f>
        <v>1900</v>
      </c>
      <c r="J381" s="892">
        <f ca="1">IFERROR(__xludf.DUMMYFUNCTION("IMPORTRANGE(""https://docs.google.com/spreadsheets/d/1XWAQStnk-4SwqDmLtmXYiTMKHgktTP8We1SCoS47DrQ/edit?usp=sharing"",""จัดที่ดิน!AL46"")"),774)</f>
        <v>774</v>
      </c>
      <c r="K381" s="893">
        <f t="shared" ca="1" si="164"/>
        <v>40.736842105263158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IFERROR(__xludf.DUMMYFUNCTION("IMPORTRANGE(""https://docs.google.com/spreadsheets/d/1XWAQStnk-4SwqDmLtmXYiTMKHgktTP8We1SCoS47DrQ/edit?usp=sharing"",""จัดที่ดิน!AM46"")"),6936.6)</f>
        <v>6936.6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IFERROR(__xludf.DUMMYFUNCTION("IMPORTRANGE(""https://docs.google.com/spreadsheets/d/1QqKyyYR6Q21VydFLVH3TRQUabQu_ym0Zz7PgGX0-kHA/edit?usp=sharing"",""แผน!EW46"")"),120)</f>
        <v>120</v>
      </c>
      <c r="J385" s="1149">
        <f ca="1">IFERROR(__xludf.DUMMYFUNCTION("IMPORTRANGE(""https://docs.google.com/spreadsheets/d/1XWAQStnk-4SwqDmLtmXYiTMKHgktTP8We1SCoS47DrQ/edit?usp=sharing"",""จัดที่ดิน!AP46"")"),3)</f>
        <v>3</v>
      </c>
      <c r="K385" s="1251">
        <f ca="1">IF(I385&gt;0,J385*100/I385,0)</f>
        <v>2.5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IFERROR(__xludf.DUMMYFUNCTION("IMPORTRANGE(""https://docs.google.com/spreadsheets/d/1MeEWN-I1oV_STSDYn1IFDPWt_1FKiwhDph83XaGc0o0/edit?usp=sharing"",""งบพรบ!FG46"")"),0)</f>
        <v>0</v>
      </c>
      <c r="M394" s="899">
        <f ca="1">IFERROR(__xludf.DUMMYFUNCTION("IMPORTRANGE(""https://docs.google.com/spreadsheets/d/1MeEWN-I1oV_STSDYn1IFDPWt_1FKiwhDph83XaGc0o0/edit?usp=sharing"",""งบพรบ!FL46"")"),0)</f>
        <v>0</v>
      </c>
      <c r="N394" s="899">
        <f ca="1">IFERROR(__xludf.DUMMYFUNCTION("IMPORTRANGE(""https://docs.google.com/spreadsheets/d/1MeEWN-I1oV_STSDYn1IFDPWt_1FKiwhDph83XaGc0o0/edit?usp=sharing"",""งบพรบ!FN46"")"),0)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IFERROR(__xludf.DUMMYFUNCTION("IMPORTRANGE(""https://docs.google.com/spreadsheets/d/1MeEWN-I1oV_STSDYn1IFDPWt_1FKiwhDph83XaGc0o0/edit?usp=sharing"",""งบพรบ!FJ46"")"),0)</f>
        <v>0</v>
      </c>
      <c r="M397" s="899">
        <f ca="1">IFERROR(__xludf.DUMMYFUNCTION("IMPORTRANGE(""https://docs.google.com/spreadsheets/d/1MeEWN-I1oV_STSDYn1IFDPWt_1FKiwhDph83XaGc0o0/edit?usp=sharing"",""งบพรบ!FM46"")"),0)</f>
        <v>0</v>
      </c>
      <c r="N397" s="899">
        <f ca="1">IFERROR(__xludf.DUMMYFUNCTION("IMPORTRANGE(""https://docs.google.com/spreadsheets/d/1MeEWN-I1oV_STSDYn1IFDPWt_1FKiwhDph83XaGc0o0/edit?usp=sharing"",""งบพรบ!FO46"")"),0)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IFERROR(__xludf.DUMMYFUNCTION("IMPORTRANGE(""https://docs.google.com/spreadsheets/d/1MeEWN-I1oV_STSDYn1IFDPWt_1FKiwhDph83XaGc0o0/edit?usp=sharing"",""งบพรบ!FQ46"")"),0)</f>
        <v>0</v>
      </c>
      <c r="M407" s="899">
        <f ca="1">IFERROR(__xludf.DUMMYFUNCTION("IMPORTRANGE(""https://docs.google.com/spreadsheets/d/1MeEWN-I1oV_STSDYn1IFDPWt_1FKiwhDph83XaGc0o0/edit?usp=sharing"",""งบพรบ!FV46"")"),0)</f>
        <v>0</v>
      </c>
      <c r="N407" s="899">
        <f ca="1">IFERROR(__xludf.DUMMYFUNCTION("IMPORTRANGE(""https://docs.google.com/spreadsheets/d/1MeEWN-I1oV_STSDYn1IFDPWt_1FKiwhDph83XaGc0o0/edit?usp=sharing"",""งบพรบ!FX46"")"),0)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IFERROR(__xludf.DUMMYFUNCTION("IMPORTRANGE(""https://docs.google.com/spreadsheets/d/1MeEWN-I1oV_STSDYn1IFDPWt_1FKiwhDph83XaGc0o0/edit?usp=sharing"",""งบพรบ!FT46"")"),0)</f>
        <v>0</v>
      </c>
      <c r="M410" s="899">
        <f ca="1">IFERROR(__xludf.DUMMYFUNCTION("IMPORTRANGE(""https://docs.google.com/spreadsheets/d/1MeEWN-I1oV_STSDYn1IFDPWt_1FKiwhDph83XaGc0o0/edit?usp=sharing"",""งบพรบ!FW46"")"),0)</f>
        <v>0</v>
      </c>
      <c r="N410" s="899">
        <f ca="1">IFERROR(__xludf.DUMMYFUNCTION("IMPORTRANGE(""https://docs.google.com/spreadsheets/d/1MeEWN-I1oV_STSDYn1IFDPWt_1FKiwhDph83XaGc0o0/edit?usp=sharing"",""งบพรบ!FY46"")"),0)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3223978</v>
      </c>
      <c r="M414" s="1293">
        <f t="shared" ca="1" si="181"/>
        <v>3223978</v>
      </c>
      <c r="N414" s="1293">
        <f t="shared" si="181"/>
        <v>2099902.7999999998</v>
      </c>
      <c r="O414" s="1293">
        <f ca="1">IF(L414&gt;0,N414*100/L414,0)</f>
        <v>65.133906000599254</v>
      </c>
      <c r="P414" s="1293">
        <f ca="1">IF(M414&gt;0,N414*100/M414,0)</f>
        <v>65.133906000599254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50</v>
      </c>
      <c r="J417" s="1306">
        <f t="shared" ca="1" si="182"/>
        <v>50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2</v>
      </c>
      <c r="J418" s="1306">
        <f t="shared" si="182"/>
        <v>2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161140</v>
      </c>
      <c r="M419" s="1004">
        <f t="shared" ca="1" si="184"/>
        <v>161140</v>
      </c>
      <c r="N419" s="1004">
        <f t="shared" si="184"/>
        <v>140667.29999999999</v>
      </c>
      <c r="O419" s="1004">
        <f t="shared" ref="O419:O424" ca="1" si="185">IF(L419&gt;0,N419*100/L419,0)</f>
        <v>87.295085019237916</v>
      </c>
      <c r="P419" s="1004">
        <f t="shared" ref="P419:P424" ca="1" si="186">IF(M419&gt;0,N419*100/M419,0)</f>
        <v>87.295085019237916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161140</v>
      </c>
      <c r="M421" s="899">
        <f t="shared" ca="1" si="187"/>
        <v>161140</v>
      </c>
      <c r="N421" s="899">
        <f t="shared" si="187"/>
        <v>140667.29999999999</v>
      </c>
      <c r="O421" s="899">
        <f t="shared" ca="1" si="185"/>
        <v>87.295085019237916</v>
      </c>
      <c r="P421" s="899">
        <f t="shared" ca="1" si="186"/>
        <v>87.295085019237916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161140</v>
      </c>
      <c r="M422" s="893">
        <f t="shared" ca="1" si="188"/>
        <v>161140</v>
      </c>
      <c r="N422" s="893">
        <f t="shared" si="188"/>
        <v>140667.29999999999</v>
      </c>
      <c r="O422" s="893">
        <f t="shared" ca="1" si="185"/>
        <v>87.295085019237916</v>
      </c>
      <c r="P422" s="893">
        <f t="shared" ca="1" si="186"/>
        <v>87.295085019237916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IFERROR(__xludf.DUMMYFUNCTION("IMPORTRANGE(""https://docs.google.com/spreadsheets/d/1QqKyyYR6Q21VydFLVH3TRQUabQu_ym0Zz7PgGX0-kHA/edit?usp=sharing"",""แผน!EY46"")"),161140)</f>
        <v>161140</v>
      </c>
      <c r="M424" s="899">
        <f ca="1">L424</f>
        <v>161140</v>
      </c>
      <c r="N424" s="899">
        <f>N425+N426+N427+N428</f>
        <v>140667.29999999999</v>
      </c>
      <c r="O424" s="899">
        <f t="shared" ca="1" si="185"/>
        <v>87.295085019237916</v>
      </c>
      <c r="P424" s="899">
        <f t="shared" ca="1" si="186"/>
        <v>87.295085019237916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130880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9787.2999999999993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IFERROR(__xludf.DUMMYFUNCTION("IMPORTRANGE(""https://docs.google.com/spreadsheets/d/1QqKyyYR6Q21VydFLVH3TRQUabQu_ym0Zz7PgGX0-kHA/edit?usp=sharing"",""แผน!FB46"")"),0)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50</v>
      </c>
      <c r="J433" s="1031">
        <f ca="1">IF(AND(J435=I435,J437=I437,J439=I439),I437+I439,IF(AND(J435=I437,J437=I437),I437,IF(AND(J435=I439,J439=I439),I439,0)))</f>
        <v>50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2</v>
      </c>
      <c r="J434" s="1031">
        <f t="shared" si="193"/>
        <v>2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893">
        <f t="shared" ref="K437:K443" ca="1" si="194">IF(I437&gt;0,J437*100/I437,0)</f>
        <v>100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IFERROR(__xludf.DUMMYFUNCTION("IMPORTRANGE(""https://docs.google.com/spreadsheets/d/1QqKyyYR6Q21VydFLVH3TRQUabQu_ym0Zz7PgGX0-kHA/edit?usp=sharing"",""แผน!FE46"")"),1)</f>
        <v>1</v>
      </c>
      <c r="J438" s="1024">
        <v>1</v>
      </c>
      <c r="K438" s="893">
        <f t="shared" ca="1" si="194"/>
        <v>100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IFERROR(__xludf.DUMMYFUNCTION("IMPORTRANGE(""https://docs.google.com/spreadsheets/d/1QqKyyYR6Q21VydFLVH3TRQUabQu_ym0Zz7PgGX0-kHA/edit?usp=sharing"",""แผน!FG46"")"),1)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IFERROR(__xludf.DUMMYFUNCTION("IMPORTRANGE(""https://docs.google.com/spreadsheets/d/1QqKyyYR6Q21VydFLVH3TRQUabQu_ym0Zz7PgGX0-kHA/edit?usp=sharing"",""แผน!FH46"")"),0)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15</v>
      </c>
      <c r="J442" s="1322">
        <f t="shared" si="195"/>
        <v>15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150</v>
      </c>
      <c r="J443" s="1306">
        <f t="shared" si="196"/>
        <v>150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181560</v>
      </c>
      <c r="M444" s="1032">
        <f t="shared" ca="1" si="197"/>
        <v>181560</v>
      </c>
      <c r="N444" s="1032">
        <f t="shared" si="197"/>
        <v>158390</v>
      </c>
      <c r="O444" s="1032">
        <f t="shared" ref="O444:O449" ca="1" si="198">IF(L444&gt;0,N444*100/L444,0)</f>
        <v>87.2383784974664</v>
      </c>
      <c r="P444" s="1032">
        <f t="shared" ref="P444:P449" ca="1" si="199">IF(M444&gt;0,N444*100/M444,0)</f>
        <v>87.2383784974664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181560</v>
      </c>
      <c r="M446" s="899">
        <f t="shared" ca="1" si="200"/>
        <v>181560</v>
      </c>
      <c r="N446" s="899">
        <f t="shared" si="200"/>
        <v>158390</v>
      </c>
      <c r="O446" s="899">
        <f t="shared" ca="1" si="198"/>
        <v>87.2383784974664</v>
      </c>
      <c r="P446" s="899">
        <f t="shared" ca="1" si="199"/>
        <v>87.2383784974664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181560</v>
      </c>
      <c r="M447" s="893">
        <f t="shared" ca="1" si="201"/>
        <v>181560</v>
      </c>
      <c r="N447" s="893">
        <f t="shared" si="201"/>
        <v>158390</v>
      </c>
      <c r="O447" s="893">
        <f t="shared" ca="1" si="198"/>
        <v>87.2383784974664</v>
      </c>
      <c r="P447" s="893">
        <f t="shared" ca="1" si="199"/>
        <v>87.2383784974664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IFERROR(__xludf.DUMMYFUNCTION("IMPORTRANGE(""https://docs.google.com/spreadsheets/d/1QqKyyYR6Q21VydFLVH3TRQUabQu_ym0Zz7PgGX0-kHA/edit?usp=sharing"",""แผน!FJ46"")"),181560)</f>
        <v>181560</v>
      </c>
      <c r="M449" s="899">
        <f ca="1">L449</f>
        <v>181560</v>
      </c>
      <c r="N449" s="899">
        <f>N450+N451+N452+N453</f>
        <v>158390</v>
      </c>
      <c r="O449" s="899">
        <f t="shared" ca="1" si="198"/>
        <v>87.2383784974664</v>
      </c>
      <c r="P449" s="899">
        <f t="shared" ca="1" si="199"/>
        <v>87.2383784974664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22085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125000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11305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IFERROR(__xludf.DUMMYFUNCTION("IMPORTRANGE(""https://docs.google.com/spreadsheets/d/1QqKyyYR6Q21VydFLVH3TRQUabQu_ym0Zz7PgGX0-kHA/edit?usp=sharing"",""แผน!FM46"")"),0)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IFERROR(__xludf.DUMMYFUNCTION("IMPORTRANGE(""https://docs.google.com/spreadsheets/d/1QqKyyYR6Q21VydFLVH3TRQUabQu_ym0Zz7PgGX0-kHA/edit?usp=sharing"",""แผน!FN46"")"),15)</f>
        <v>15</v>
      </c>
      <c r="J460" s="1024">
        <v>15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IFERROR(__xludf.DUMMYFUNCTION("IMPORTRANGE(""https://docs.google.com/spreadsheets/d/1QqKyyYR6Q21VydFLVH3TRQUabQu_ym0Zz7PgGX0-kHA/edit?usp=sharing"",""แผน!FO46"")"),150)</f>
        <v>150</v>
      </c>
      <c r="J462" s="1024">
        <v>150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IFERROR(__xludf.DUMMYFUNCTION("IMPORTRANGE(""https://docs.google.com/spreadsheets/d/1QqKyyYR6Q21VydFLVH3TRQUabQu_ym0Zz7PgGX0-kHA/edit?usp=sharing"",""แผน!FO46"")"),150)</f>
        <v>150</v>
      </c>
      <c r="J463" s="1024">
        <v>150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IFERROR(__xludf.DUMMYFUNCTION("IMPORTRANGE(""https://docs.google.com/spreadsheets/d/1QqKyyYR6Q21VydFLVH3TRQUabQu_ym0Zz7PgGX0-kHA/edit?usp=sharing"",""แผน!FN46"")"),15)</f>
        <v>15</v>
      </c>
      <c r="J464" s="1024">
        <v>15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IFERROR(__xludf.DUMMYFUNCTION("IMPORTRANGE(""https://docs.google.com/spreadsheets/d/1QqKyyYR6Q21VydFLVH3TRQUabQu_ym0Zz7PgGX0-kHA/edit?usp=sharing"",""แผน!FX46"")"),131)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IFERROR(__xludf.DUMMYFUNCTION("IMPORTRANGE(""https://docs.google.com/spreadsheets/d/1QqKyyYR6Q21VydFLVH3TRQUabQu_ym0Zz7PgGX0-kHA/edit?usp=sharing"",""แผน!FW46"")"),1300)</f>
        <v>1300</v>
      </c>
      <c r="J466" s="1306">
        <f>J495+J498</f>
        <v>1300</v>
      </c>
      <c r="K466" s="1307">
        <f t="shared" ca="1" si="205"/>
        <v>100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1169908</v>
      </c>
      <c r="M467" s="1032">
        <f t="shared" ca="1" si="206"/>
        <v>1169908</v>
      </c>
      <c r="N467" s="1032">
        <f t="shared" si="206"/>
        <v>1058665</v>
      </c>
      <c r="O467" s="1032">
        <f t="shared" ref="O467:O472" ca="1" si="207">IF(L467&gt;0,N467*100/L467,0)</f>
        <v>90.49130358968398</v>
      </c>
      <c r="P467" s="1032">
        <f t="shared" ref="P467:P472" ca="1" si="208">IF(M467&gt;0,N467*100/M467,0)</f>
        <v>90.49130358968398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1169908</v>
      </c>
      <c r="M469" s="899">
        <f t="shared" ca="1" si="209"/>
        <v>1169908</v>
      </c>
      <c r="N469" s="899">
        <f t="shared" si="209"/>
        <v>1058665</v>
      </c>
      <c r="O469" s="899">
        <f t="shared" ca="1" si="207"/>
        <v>90.49130358968398</v>
      </c>
      <c r="P469" s="899">
        <f t="shared" ca="1" si="208"/>
        <v>90.49130358968398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1169908</v>
      </c>
      <c r="M470" s="893">
        <f t="shared" ca="1" si="210"/>
        <v>1169908</v>
      </c>
      <c r="N470" s="893">
        <f t="shared" si="210"/>
        <v>1058665</v>
      </c>
      <c r="O470" s="893">
        <f t="shared" ca="1" si="207"/>
        <v>90.49130358968398</v>
      </c>
      <c r="P470" s="893">
        <f t="shared" ca="1" si="208"/>
        <v>90.49130358968398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IFERROR(__xludf.DUMMYFUNCTION("IMPORTRANGE(""https://docs.google.com/spreadsheets/d/1QqKyyYR6Q21VydFLVH3TRQUabQu_ym0Zz7PgGX0-kHA/edit?usp=sharing"",""แผน!FS46"")"),1169908)</f>
        <v>1169908</v>
      </c>
      <c r="M472" s="899">
        <f ca="1">L472</f>
        <v>1169908</v>
      </c>
      <c r="N472" s="899">
        <f>N473+N474+N475+N476</f>
        <v>1058665</v>
      </c>
      <c r="O472" s="899">
        <f t="shared" ca="1" si="207"/>
        <v>90.49130358968398</v>
      </c>
      <c r="P472" s="899">
        <f t="shared" ca="1" si="208"/>
        <v>90.49130358968398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163613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810000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63320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21732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IFERROR(__xludf.DUMMYFUNCTION("IMPORTRANGE(""https://docs.google.com/spreadsheets/d/1QqKyyYR6Q21VydFLVH3TRQUabQu_ym0Zz7PgGX0-kHA/edit?usp=sharing"",""แผน!FV46"")"),0)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IFERROR(__xludf.DUMMYFUNCTION("IMPORTRANGE(""https://docs.google.com/spreadsheets/d/1QqKyyYR6Q21VydFLVH3TRQUabQu_ym0Zz7PgGX0-kHA/edit?usp=sharing"",""แผน!FY46"")"),1170)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160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IFERROR(__xludf.DUMMYFUNCTION("IMPORTRANGE(""https://docs.google.com/spreadsheets/d/1QqKyyYR6Q21VydFLVH3TRQUabQu_ym0Zz7PgGX0-kHA/edit?usp=sharing"",""แผน!FZ46"")"),117)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IFERROR(__xludf.DUMMYFUNCTION("IMPORTRANGE(""https://docs.google.com/spreadsheets/d/1QqKyyYR6Q21VydFLVH3TRQUabQu_ym0Zz7PgGX0-kHA/edit?usp=sharing"",""แผน!GA46"")"),130)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13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9.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IFERROR(__xludf.DUMMYFUNCTION("IMPORTRANGE(""https://docs.google.com/spreadsheets/d/1QqKyyYR6Q21VydFLVH3TRQUabQu_ym0Zz7PgGX0-kHA/edit?usp=sharing"",""แผน!GB46"")"),13)</f>
        <v>13</v>
      </c>
      <c r="J489" s="1519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IFERROR(__xludf.DUMMYFUNCTION("IMPORTRANGE(""https://docs.google.com/spreadsheets/d/1QqKyyYR6Q21VydFLVH3TRQUabQu_ym0Zz7PgGX0-kHA/edit?usp=sharing"",""แผน!GC46"")"),1)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IFERROR(__xludf.DUMMYFUNCTION("IMPORTRANGE(""https://docs.google.com/spreadsheets/d/1QqKyyYR6Q21VydFLVH3TRQUabQu_ym0Zz7PgGX0-kHA/edit?usp=sharing"",""แผน!FY46"")"),1170)</f>
        <v>1170</v>
      </c>
      <c r="J495" s="1024">
        <v>1170</v>
      </c>
      <c r="K495" s="893">
        <f ca="1">IF(I495&gt;0,J495*100/I495,0)</f>
        <v>100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1170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IFERROR(__xludf.DUMMYFUNCTION("IMPORTRANGE(""https://docs.google.com/spreadsheets/d/1QqKyyYR6Q21VydFLVH3TRQUabQu_ym0Zz7PgGX0-kHA/edit?usp=sharing"",""แผน!GA46"")"),130)</f>
        <v>130</v>
      </c>
      <c r="J498" s="1024">
        <v>130</v>
      </c>
      <c r="K498" s="893">
        <f ca="1">IF(I498&gt;0,J498*100/I498,0)</f>
        <v>100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130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IFERROR(__xludf.DUMMYFUNCTION("IMPORTRANGE(""https://docs.google.com/spreadsheets/d/1QqKyyYR6Q21VydFLVH3TRQUabQu_ym0Zz7PgGX0-kHA/edit?usp=sharing"",""แผน!GQ46"")"),0)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IFERROR(__xludf.DUMMYFUNCTION("IMPORTRANGE(""https://docs.google.com/spreadsheets/d/1QqKyyYR6Q21VydFLVH3TRQUabQu_ym0Zz7PgGX0-kHA/edit?usp=sharing"",""แผน!GT46"")"),0)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IFERROR(__xludf.DUMMYFUNCTION("IMPORTRANGE(""https://docs.google.com/spreadsheets/d/1QqKyyYR6Q21VydFLVH3TRQUabQu_ym0Zz7PgGX0-kHA/edit?usp=sharing"",""แผน!GU46"")"),0)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IFERROR(__xludf.DUMMYFUNCTION("IMPORTRANGE(""https://docs.google.com/spreadsheets/d/1QqKyyYR6Q21VydFLVH3TRQUabQu_ym0Zz7PgGX0-kHA/edit?usp=sharing"",""แผน!GV46"")"),0)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IFERROR(__xludf.DUMMYFUNCTION("IMPORTRANGE(""https://docs.google.com/spreadsheets/d/1QqKyyYR6Q21VydFLVH3TRQUabQu_ym0Zz7PgGX0-kHA/edit?usp=sharing"",""แผน!GW46"")"),0)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IFERROR(__xludf.DUMMYFUNCTION("IMPORTRANGE(""https://docs.google.com/spreadsheets/d/1QqKyyYR6Q21VydFLVH3TRQUabQu_ym0Zz7PgGX0-kHA/edit?usp=sharing"",""แผน!GX46"")"),0)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IFERROR(__xludf.DUMMYFUNCTION("IMPORTRANGE(""https://docs.google.com/spreadsheets/d/1QqKyyYR6Q21VydFLVH3TRQUabQu_ym0Zz7PgGX0-kHA/edit?usp=sharing"",""แผน!GY46"")"),0)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IFERROR(__xludf.DUMMYFUNCTION("IMPORTRANGE(""https://docs.google.com/spreadsheets/d/1QqKyyYR6Q21VydFLVH3TRQUabQu_ym0Zz7PgGX0-kHA/edit?usp=sharing"",""แผน!GZ46"")"),0)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73156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594850</v>
      </c>
      <c r="M544" s="1004">
        <f t="shared" ca="1" si="236"/>
        <v>594850</v>
      </c>
      <c r="N544" s="1004">
        <f t="shared" si="236"/>
        <v>283201.5</v>
      </c>
      <c r="O544" s="1004">
        <f t="shared" ref="O544:O549" ca="1" si="237">IF(L544&gt;0,N544*100/L544,0)</f>
        <v>47.60889299823485</v>
      </c>
      <c r="P544" s="1004">
        <f t="shared" ref="P544:P549" ca="1" si="238">IF(M544&gt;0,N544*100/M544,0)</f>
        <v>47.60889299823485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594850</v>
      </c>
      <c r="M546" s="899">
        <f t="shared" ca="1" si="240"/>
        <v>594850</v>
      </c>
      <c r="N546" s="899">
        <f t="shared" si="240"/>
        <v>283201.5</v>
      </c>
      <c r="O546" s="899">
        <f t="shared" ca="1" si="237"/>
        <v>47.60889299823485</v>
      </c>
      <c r="P546" s="899">
        <f t="shared" ca="1" si="238"/>
        <v>47.60889299823485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594850</v>
      </c>
      <c r="M547" s="893">
        <f t="shared" ca="1" si="241"/>
        <v>594850</v>
      </c>
      <c r="N547" s="893">
        <f t="shared" si="241"/>
        <v>283201.5</v>
      </c>
      <c r="O547" s="893">
        <f t="shared" ca="1" si="237"/>
        <v>47.60889299823485</v>
      </c>
      <c r="P547" s="893">
        <f t="shared" ca="1" si="238"/>
        <v>47.60889299823485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IFERROR(__xludf.DUMMYFUNCTION("IMPORTRANGE(""https://docs.google.com/spreadsheets/d/1QqKyyYR6Q21VydFLVH3TRQUabQu_ym0Zz7PgGX0-kHA/edit?usp=sharing"",""แผน!HB46"")"),594850)</f>
        <v>594850</v>
      </c>
      <c r="M549" s="899">
        <f ca="1">L549</f>
        <v>594850</v>
      </c>
      <c r="N549" s="899">
        <f>N550+N551+N552+N553+N554</f>
        <v>283201.5</v>
      </c>
      <c r="O549" s="899">
        <f t="shared" ca="1" si="237"/>
        <v>47.60889299823485</v>
      </c>
      <c r="P549" s="899">
        <f t="shared" ca="1" si="238"/>
        <v>47.60889299823485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63320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219881.5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IFERROR(__xludf.DUMMYFUNCTION("IMPORTRANGE(""https://docs.google.com/spreadsheets/d/1QqKyyYR6Q21VydFLVH3TRQUabQu_ym0Zz7PgGX0-kHA/edit?usp=sharing"",""แผน!HF46"")"),0)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73156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IFERROR(__xludf.DUMMYFUNCTION("IMPORTRANGE(""https://docs.google.com/spreadsheets/d/1QqKyyYR6Q21VydFLVH3TRQUabQu_ym0Zz7PgGX0-kHA/edit?usp=sharing"",""แผน!HH46"")"),73156)</f>
        <v>73156</v>
      </c>
      <c r="J560" s="1030">
        <f t="shared" ref="J560:J561" si="247">J562+J564+J566</f>
        <v>73156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IFERROR(__xludf.DUMMYFUNCTION("IMPORTRANGE(""https://docs.google.com/spreadsheets/d/1QqKyyYR6Q21VydFLVH3TRQUabQu_ym0Zz7PgGX0-kHA/edit?usp=sharing"",""แผน!HG46"")"),11185)</f>
        <v>11185</v>
      </c>
      <c r="J561" s="1030">
        <f t="shared" si="247"/>
        <v>11185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51083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8859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18673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1845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3400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481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IFERROR(__xludf.DUMMYFUNCTION("IMPORTRANGE(""https://docs.google.com/spreadsheets/d/1QqKyyYR6Q21VydFLVH3TRQUabQu_ym0Zz7PgGX0-kHA/edit?usp=sharing"",""แผน!HH46"")"),73156)</f>
        <v>73156</v>
      </c>
      <c r="J568" s="1031">
        <f t="shared" ref="J568:J569" si="248">J570+J572+J574</f>
        <v>73157</v>
      </c>
      <c r="K568" s="1174">
        <f t="shared" ref="K568:K569" ca="1" si="249">IF(I568&gt;0,J568*100/I568,0)</f>
        <v>100.00136694187763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IFERROR(__xludf.DUMMYFUNCTION("IMPORTRANGE(""https://docs.google.com/spreadsheets/d/1QqKyyYR6Q21VydFLVH3TRQUabQu_ym0Zz7PgGX0-kHA/edit?usp=sharing"",""แผน!HG46"")"),11185)</f>
        <v>11185</v>
      </c>
      <c r="J569" s="1031">
        <f t="shared" si="248"/>
        <v>11185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56914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9466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12055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1158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4188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561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IFERROR(__xludf.DUMMYFUNCTION("IMPORTRANGE(""https://docs.google.com/spreadsheets/d/1QqKyyYR6Q21VydFLVH3TRQUabQu_ym0Zz7PgGX0-kHA/edit?usp=sharing"",""แผน!HH46"")"),73156)</f>
        <v>73156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IFERROR(__xludf.DUMMYFUNCTION("IMPORTRANGE(""https://docs.google.com/spreadsheets/d/1QqKyyYR6Q21VydFLVH3TRQUabQu_ym0Zz7PgGX0-kHA/edit?usp=sharing"",""แผน!HG46"")"),11185)</f>
        <v>11185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4240.6499999999996</v>
      </c>
      <c r="J592" s="1389">
        <f t="shared" si="253"/>
        <v>2223</v>
      </c>
      <c r="K592" s="1390">
        <f t="shared" ref="K592:K594" ca="1" si="254">IF(I592&gt;0,J592*100/I592,0)</f>
        <v>52.421209012769275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IFERROR(__xludf.DUMMYFUNCTION("IMPORTRANGE(""https://docs.google.com/spreadsheets/d/1QqKyyYR6Q21VydFLVH3TRQUabQu_ym0Zz7PgGX0-kHA/edit?usp=sharing"",""แผน!HJ46"")"),4240.65)</f>
        <v>4240.6499999999996</v>
      </c>
      <c r="J593" s="1030">
        <f t="shared" ref="J593:J594" si="255">J595+J603+J609</f>
        <v>2223</v>
      </c>
      <c r="K593" s="1174">
        <f t="shared" ca="1" si="254"/>
        <v>52.421209012769275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IFERROR(__xludf.DUMMYFUNCTION("IMPORTRANGE(""https://docs.google.com/spreadsheets/d/1QqKyyYR6Q21VydFLVH3TRQUabQu_ym0Zz7PgGX0-kHA/edit?usp=sharing"",""แผน!HI46"")"),384)</f>
        <v>384</v>
      </c>
      <c r="J594" s="1030">
        <f t="shared" si="255"/>
        <v>248</v>
      </c>
      <c r="K594" s="1174">
        <f t="shared" ca="1" si="254"/>
        <v>64.583333333333329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2209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246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555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66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1654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180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14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2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14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2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IFERROR(__xludf.DUMMYFUNCTION("IMPORTRANGE(""https://docs.google.com/spreadsheets/d/1QqKyyYR6Q21VydFLVH3TRQUabQu_ym0Zz7PgGX0-kHA/edit?usp=sharing"",""แผน!HL46"")"),73)</f>
        <v>73</v>
      </c>
      <c r="J620" s="1429">
        <f t="shared" ref="J620:J621" si="260">J622+J624+J626</f>
        <v>73</v>
      </c>
      <c r="K620" s="1430">
        <f t="shared" ref="K620:K621" ca="1" si="261">IF(I620&gt;0,J620*100/I620,0)</f>
        <v>100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IFERROR(__xludf.DUMMYFUNCTION("IMPORTRANGE(""https://docs.google.com/spreadsheets/d/1QqKyyYR6Q21VydFLVH3TRQUabQu_ym0Zz7PgGX0-kHA/edit?usp=sharing"",""แผน!HK46"")"),8)</f>
        <v>8</v>
      </c>
      <c r="J621" s="1429">
        <f t="shared" si="260"/>
        <v>8</v>
      </c>
      <c r="K621" s="1430">
        <f t="shared" ca="1" si="261"/>
        <v>100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29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3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44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5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700</v>
      </c>
      <c r="J628" s="1438">
        <f t="shared" ca="1" si="262"/>
        <v>261</v>
      </c>
      <c r="K628" s="1439">
        <f ca="1">IF(I628&gt;0,J628*100/I628,0)</f>
        <v>37.285714285714285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873460</v>
      </c>
      <c r="M629" s="1032">
        <f t="shared" ca="1" si="263"/>
        <v>873460</v>
      </c>
      <c r="N629" s="1032">
        <f t="shared" si="263"/>
        <v>373406</v>
      </c>
      <c r="O629" s="1032">
        <f t="shared" ref="O629:O634" ca="1" si="264">IF(L629&gt;0,N629*100/L629,0)</f>
        <v>42.750211801341791</v>
      </c>
      <c r="P629" s="1032">
        <f t="shared" ref="P629:P634" ca="1" si="265">IF(M629&gt;0,N629*100/M629,0)</f>
        <v>42.750211801341791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873460</v>
      </c>
      <c r="M631" s="899">
        <f t="shared" ca="1" si="266"/>
        <v>873460</v>
      </c>
      <c r="N631" s="899">
        <f t="shared" si="266"/>
        <v>373406</v>
      </c>
      <c r="O631" s="899">
        <f t="shared" ca="1" si="264"/>
        <v>42.750211801341791</v>
      </c>
      <c r="P631" s="899">
        <f t="shared" ca="1" si="265"/>
        <v>42.750211801341791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873460</v>
      </c>
      <c r="M632" s="893">
        <f t="shared" ca="1" si="267"/>
        <v>873460</v>
      </c>
      <c r="N632" s="893">
        <f t="shared" si="267"/>
        <v>373406</v>
      </c>
      <c r="O632" s="893">
        <f t="shared" ca="1" si="264"/>
        <v>42.750211801341791</v>
      </c>
      <c r="P632" s="893">
        <f t="shared" ca="1" si="265"/>
        <v>42.750211801341791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IFERROR(__xludf.DUMMYFUNCTION("IMPORTRANGE(""https://docs.google.com/spreadsheets/d/1QqKyyYR6Q21VydFLVH3TRQUabQu_ym0Zz7PgGX0-kHA/edit?usp=sharing"",""แผน!HN46"")"),873460)</f>
        <v>873460</v>
      </c>
      <c r="M634" s="899">
        <f ca="1">L634</f>
        <v>873460</v>
      </c>
      <c r="N634" s="899">
        <f>N635+N636+N637+N638</f>
        <v>373406</v>
      </c>
      <c r="O634" s="899">
        <f t="shared" ca="1" si="264"/>
        <v>42.750211801341791</v>
      </c>
      <c r="P634" s="899">
        <f t="shared" ca="1" si="265"/>
        <v>42.750211801341791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129580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243826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IFERROR(__xludf.DUMMYFUNCTION("IMPORTRANGE(""https://docs.google.com/spreadsheets/d/1QqKyyYR6Q21VydFLVH3TRQUabQu_ym0Zz7PgGX0-kHA/edit?usp=sharing"",""แผน!HQ46"")"),0)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IFERROR(__xludf.DUMMYFUNCTION("IMPORTRANGE(""https://docs.google.com/spreadsheets/d/1QqKyyYR6Q21VydFLVH3TRQUabQu_ym0Zz7PgGX0-kHA/edit?usp=sharing"",""แผน!HR46"")"),0)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IFERROR(__xludf.DUMMYFUNCTION("IMPORTRANGE(""https://docs.google.com/spreadsheets/d/1QqKyyYR6Q21VydFLVH3TRQUabQu_ym0Zz7PgGX0-kHA/edit?usp=sharing"",""แผน!HR46"")"),0)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IFERROR(__xludf.DUMMYFUNCTION("IMPORTRANGE(""https://docs.google.com/spreadsheets/d/1XWAQStnk-4SwqDmLtmXYiTMKHgktTP8We1SCoS47DrQ/edit?usp=sharing"",""จัดที่ดิน!AS46"")"),302)</f>
        <v>302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IFERROR(__xludf.DUMMYFUNCTION("IMPORTRANGE(""https://docs.google.com/spreadsheets/d/1XWAQStnk-4SwqDmLtmXYiTMKHgktTP8We1SCoS47DrQ/edit?usp=sharing"",""จัดที่ดิน!AT46"")"),215.27)</f>
        <v>215.27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IFERROR(__xludf.DUMMYFUNCTION("IMPORTRANGE(""https://docs.google.com/spreadsheets/d/1QqKyyYR6Q21VydFLVH3TRQUabQu_ym0Zz7PgGX0-kHA/edit?usp=sharing"",""แผน!HS46"")"),700)</f>
        <v>700</v>
      </c>
      <c r="J647" s="892">
        <f ca="1">IFERROR(__xludf.DUMMYFUNCTION("IMPORTRANGE(""https://docs.google.com/spreadsheets/d/1XWAQStnk-4SwqDmLtmXYiTMKHgktTP8We1SCoS47DrQ/edit?usp=sharing"",""จัดที่ดิน!AU46"")"),260)</f>
        <v>260</v>
      </c>
      <c r="K647" s="1010">
        <f t="shared" ca="1" si="271"/>
        <v>37.142857142857146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IFERROR(__xludf.DUMMYFUNCTION("IMPORTRANGE(""https://docs.google.com/spreadsheets/d/1XWAQStnk-4SwqDmLtmXYiTMKHgktTP8We1SCoS47DrQ/edit?usp=sharing"",""จัดที่ดิน!AV46"")"),192.24)</f>
        <v>192.24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IFERROR(__xludf.DUMMYFUNCTION("IMPORTRANGE(""https://docs.google.com/spreadsheets/d/1QqKyyYR6Q21VydFLVH3TRQUabQu_ym0Zz7PgGX0-kHA/edit?usp=sharing"",""แผน!HS46"")"),700)</f>
        <v>700</v>
      </c>
      <c r="J649" s="892">
        <f ca="1">IFERROR(__xludf.DUMMYFUNCTION("IMPORTRANGE(""https://docs.google.com/spreadsheets/d/1XWAQStnk-4SwqDmLtmXYiTMKHgktTP8We1SCoS47DrQ/edit?usp=sharing"",""จัดที่ดิน!AW46"")"),263)</f>
        <v>263</v>
      </c>
      <c r="K649" s="1010">
        <f t="shared" ca="1" si="271"/>
        <v>37.571428571428569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IFERROR(__xludf.DUMMYFUNCTION("IMPORTRANGE(""https://docs.google.com/spreadsheets/d/1XWAQStnk-4SwqDmLtmXYiTMKHgktTP8We1SCoS47DrQ/edit?usp=sharing"",""จัดที่ดิน!AX46"")"),194.31)</f>
        <v>194.31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IFERROR(__xludf.DUMMYFUNCTION("IMPORTRANGE(""https://docs.google.com/spreadsheets/d/1QqKyyYR6Q21VydFLVH3TRQUabQu_ym0Zz7PgGX0-kHA/edit?usp=sharing"",""แผน!HS46"")"),700)</f>
        <v>700</v>
      </c>
      <c r="J651" s="892">
        <f ca="1">IFERROR(__xludf.DUMMYFUNCTION("IMPORTRANGE(""https://docs.google.com/spreadsheets/d/1XWAQStnk-4SwqDmLtmXYiTMKHgktTP8We1SCoS47DrQ/edit?usp=sharing"",""จัดที่ดิน!AY46"")"),261)</f>
        <v>261</v>
      </c>
      <c r="K651" s="1010">
        <f t="shared" ca="1" si="271"/>
        <v>37.285714285714285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IFERROR(__xludf.DUMMYFUNCTION("IMPORTRANGE(""https://docs.google.com/spreadsheets/d/1XWAQStnk-4SwqDmLtmXYiTMKHgktTP8We1SCoS47DrQ/edit?usp=sharing"",""จัดที่ดิน!AZ46"")"),185.365)</f>
        <v>185.36500000000001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12860</v>
      </c>
      <c r="O655" s="1032">
        <f t="shared" ref="O655:O660" ca="1" si="274">IF(L655&gt;0,N655*100/L655,0)</f>
        <v>82.435897435897431</v>
      </c>
      <c r="P655" s="1032">
        <f t="shared" ref="P655:P660" ca="1" si="275">IF(M655&gt;0,N655*100/M655,0)</f>
        <v>82.435897435897431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12860</v>
      </c>
      <c r="O657" s="899">
        <f t="shared" ca="1" si="274"/>
        <v>82.435897435897431</v>
      </c>
      <c r="P657" s="899">
        <f t="shared" ca="1" si="275"/>
        <v>82.435897435897431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12860</v>
      </c>
      <c r="O658" s="893">
        <f t="shared" ca="1" si="274"/>
        <v>82.435897435897431</v>
      </c>
      <c r="P658" s="893">
        <f t="shared" ca="1" si="275"/>
        <v>82.435897435897431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IFERROR(__xludf.DUMMYFUNCTION("IMPORTRANGE(""https://docs.google.com/spreadsheets/d/1QqKyyYR6Q21VydFLVH3TRQUabQu_ym0Zz7PgGX0-kHA/edit?usp=sharing"",""แผน!HV46"")"),15600)</f>
        <v>15600</v>
      </c>
      <c r="M660" s="899">
        <f ca="1">L660</f>
        <v>15600</v>
      </c>
      <c r="N660" s="899">
        <f>N661+N662+N663+N664</f>
        <v>12860</v>
      </c>
      <c r="O660" s="899">
        <f t="shared" ca="1" si="274"/>
        <v>82.435897435897431</v>
      </c>
      <c r="P660" s="899">
        <f t="shared" ca="1" si="275"/>
        <v>82.435897435897431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12860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IFERROR(__xludf.DUMMYFUNCTION("IMPORTRANGE(""https://docs.google.com/spreadsheets/d/1QqKyyYR6Q21VydFLVH3TRQUabQu_ym0Zz7PgGX0-kHA/edit?usp=sharing"",""แผน!IA46"")"),100)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IFERROR(__xludf.DUMMYFUNCTION("IMPORTRANGE(""https://docs.google.com/spreadsheets/d/1QqKyyYR6Q21VydFLVH3TRQUabQu_ym0Zz7PgGX0-kHA/edit?usp=sharing"",""แผน!HZ46"")"),6)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IFERROR(__xludf.DUMMYFUNCTION("IMPORTRANGE(""https://docs.google.com/spreadsheets/d/1QqKyyYR6Q21VydFLVH3TRQUabQu_ym0Zz7PgGX0-kHA/edit?usp=sharing"",""แผน!HZ46"")"),6)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64.400000000000006</v>
      </c>
      <c r="K672" s="893">
        <f t="shared" ref="K672:K675" ca="1" si="281">IF(I$669&gt;0,J672*100/I$669,0)</f>
        <v>64.400000000000006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64</v>
      </c>
      <c r="K673" s="893">
        <f t="shared" ca="1" si="281"/>
        <v>64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64</v>
      </c>
      <c r="K674" s="893">
        <f t="shared" ca="1" si="281"/>
        <v>64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IFERROR(__xludf.DUMMYFUNCTION("IMPORTRANGE(""https://docs.google.com/spreadsheets/d/1QqKyyYR6Q21VydFLVH3TRQUabQu_ym0Zz7PgGX0-kHA/edit?usp=sharing"",""แผน!IB46"")"),0)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13540</v>
      </c>
      <c r="M685" s="1032">
        <f t="shared" ca="1" si="282"/>
        <v>13540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13540</v>
      </c>
      <c r="M687" s="899">
        <f t="shared" ca="1" si="285"/>
        <v>13540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13540</v>
      </c>
      <c r="M688" s="893">
        <f t="shared" ca="1" si="286"/>
        <v>13540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IFERROR(__xludf.DUMMYFUNCTION("IMPORTRANGE(""https://docs.google.com/spreadsheets/d/1QqKyyYR6Q21VydFLVH3TRQUabQu_ym0Zz7PgGX0-kHA/edit?usp=sharing"",""แผน!HW46"")"),13540)</f>
        <v>13540</v>
      </c>
      <c r="M690" s="899">
        <f ca="1">L690</f>
        <v>13540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IFERROR(__xludf.DUMMYFUNCTION("IMPORTRANGE(""https://docs.google.com/spreadsheets/d/1QqKyyYR6Q21VydFLVH3TRQUabQu_ym0Zz7PgGX0-kHA/edit?usp=sharing"",""แผน!IC46"")"),0)</f>
        <v>0</v>
      </c>
      <c r="J699" s="892">
        <f ca="1">IFERROR(__xludf.DUMMYFUNCTION("IMPORTRANGE(""https://docs.google.com/spreadsheets/d/1XWAQStnk-4SwqDmLtmXYiTMKHgktTP8We1SCoS47DrQ/edit?usp=sharing"",""จัดที่ดิน!BB46"")"),0)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IFERROR(__xludf.DUMMYFUNCTION("IMPORTRANGE(""https://docs.google.com/spreadsheets/d/1QqKyyYR6Q21VydFLVH3TRQUabQu_ym0Zz7PgGX0-kHA/edit?usp=sharing"",""แผน!ID46"")"),15)</f>
        <v>15</v>
      </c>
      <c r="J700" s="892">
        <f ca="1">IFERROR(__xludf.DUMMYFUNCTION("IMPORTRANGE(""https://docs.google.com/spreadsheets/d/1XWAQStnk-4SwqDmLtmXYiTMKHgktTP8We1SCoS47DrQ/edit?usp=sharing"",""จัดที่ดิน!BD46"")"),12)</f>
        <v>12</v>
      </c>
      <c r="K700" s="893">
        <f t="shared" ca="1" si="290"/>
        <v>80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IFERROR(__xludf.DUMMYFUNCTION("IMPORTRANGE(""https://docs.google.com/spreadsheets/d/1QqKyyYR6Q21VydFLVH3TRQUabQu_ym0Zz7PgGX0-kHA/edit?usp=sharing"",""แผน!IE46"")"),0)</f>
        <v>0</v>
      </c>
      <c r="J701" s="1031">
        <f>J704+J707</f>
        <v>100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IFERROR(__xludf.DUMMYFUNCTION("IMPORTRANGE(""https://docs.google.com/spreadsheets/d/1QqKyyYR6Q21VydFLVH3TRQUabQu_ym0Zz7PgGX0-kHA/edit?usp=sharing"",""แผน!IF46"")"),0)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10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10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IFERROR(__xludf.DUMMYFUNCTION("IMPORTRANGE(""https://docs.google.com/spreadsheets/d/1QqKyyYR6Q21VydFLVH3TRQUabQu_ym0Zz7PgGX0-kHA/edit?usp=sharing"",""แผน!IG46"")"),0)</f>
        <v>0</v>
      </c>
      <c r="J707" s="1024">
        <v>100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IFERROR(__xludf.DUMMYFUNCTION("IMPORTRANGE(""https://docs.google.com/spreadsheets/d/1QqKyyYR6Q21VydFLVH3TRQUabQu_ym0Zz7PgGX0-kHA/edit?usp=sharing"",""แผน!IH46"")"),342)</f>
        <v>342</v>
      </c>
      <c r="J708" s="1031">
        <f>J714+J717</f>
        <v>334</v>
      </c>
      <c r="K708" s="1032">
        <f ca="1">IF(I708&gt;0,J708*100/I708,0)</f>
        <v>97.660818713450297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17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17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334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IFERROR(__xludf.DUMMYFUNCTION("IMPORTRANGE(""https://docs.google.com/spreadsheets/d/1XWAQStnk-4SwqDmLtmXYiTMKHgktTP8We1SCoS47DrQ/edit?usp=sharing"",""จัดที่ดิน!BF46"")"),8)</f>
        <v>8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IFERROR(__xludf.DUMMYFUNCTION("IMPORTRANGE(""https://docs.google.com/spreadsheets/d/1XWAQStnk-4SwqDmLtmXYiTMKHgktTP8We1SCoS47DrQ/edit?usp=sharing"",""จัดที่ดิน!BG46"")"),8)</f>
        <v>8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IFERROR(__xludf.DUMMYFUNCTION("IMPORTRANGE(""https://docs.google.com/spreadsheets/d/1QqKyyYR6Q21VydFLVH3TRQUabQu_ym0Zz7PgGX0-kHA/edit?usp=sharing"",""แผน!II46"")"),130)</f>
        <v>130</v>
      </c>
      <c r="J720" s="892">
        <f ca="1">IFERROR(__xludf.DUMMYFUNCTION("IMPORTRANGE(""https://docs.google.com/spreadsheets/d/1XWAQStnk-4SwqDmLtmXYiTMKHgktTP8We1SCoS47DrQ/edit?usp=sharing"",""จัดที่ดิน!BH46"")"),79.83)</f>
        <v>79.83</v>
      </c>
      <c r="K720" s="893">
        <f t="shared" ref="K720:K723" ca="1" si="291">IF(I720&gt;0,J720*100/I720,0)</f>
        <v>61.407692307692308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IFERROR(__xludf.DUMMYFUNCTION("IMPORTRANGE(""https://docs.google.com/spreadsheets/d/1QqKyyYR6Q21VydFLVH3TRQUabQu_ym0Zz7PgGX0-kHA/edit?usp=sharing"",""แผน!IJ46"")"),0)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IFERROR(__xludf.DUMMYFUNCTION("IMPORTRANGE(""https://docs.google.com/spreadsheets/d/1QqKyyYR6Q21VydFLVH3TRQUabQu_ym0Zz7PgGX0-kHA/edit?usp=sharing"",""แผน!IK46"")"),0)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IFERROR(__xludf.DUMMYFUNCTION("IMPORTRANGE(""https://docs.google.com/spreadsheets/d/1QqKyyYR6Q21VydFLVH3TRQUabQu_ym0Zz7PgGX0-kHA/edit?usp=sharing"",""แผน!IL46"")"),0)</f>
        <v>0</v>
      </c>
      <c r="J723" s="892">
        <f ca="1">IFERROR(__xludf.DUMMYFUNCTION("IMPORTRANGE(""https://docs.google.com/spreadsheets/d/1XWAQStnk-4SwqDmLtmXYiTMKHgktTP8We1SCoS47DrQ/edit?usp=sharing"",""จัดที่ดิน!BM46"")"),0)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IFERROR(__xludf.DUMMYFUNCTION("IMPORTRANGE(""https://docs.google.com/spreadsheets/d/1XWAQStnk-4SwqDmLtmXYiTMKHgktTP8We1SCoS47DrQ/edit?usp=sharing"",""จัดที่ดิน!BN46"")"),0)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IFERROR(__xludf.DUMMYFUNCTION("IMPORTRANGE(""https://docs.google.com/spreadsheets/d/1QqKyyYR6Q21VydFLVH3TRQUabQu_ym0Zz7PgGX0-kHA/edit?usp=sharing"",""แผน!IM46"")"),0)</f>
        <v>0</v>
      </c>
      <c r="J725" s="892">
        <f ca="1">IFERROR(__xludf.DUMMYFUNCTION("IMPORTRANGE(""https://docs.google.com/spreadsheets/d/1XWAQStnk-4SwqDmLtmXYiTMKHgktTP8We1SCoS47DrQ/edit?usp=sharing"",""จัดที่ดิน!BO46"")"),0)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IFERROR(__xludf.DUMMYFUNCTION("IMPORTRANGE(""https://docs.google.com/spreadsheets/d/1QqKyyYR6Q21VydFLVH3TRQUabQu_ym0Zz7PgGX0-kHA/edit?usp=sharing"",""แผน!IN46"")"),0)</f>
        <v>0</v>
      </c>
      <c r="J726" s="892">
        <f ca="1">IFERROR(__xludf.DUMMYFUNCTION("IMPORTRANGE(""https://docs.google.com/spreadsheets/d/1XWAQStnk-4SwqDmLtmXYiTMKHgktTP8We1SCoS47DrQ/edit?usp=sharing"",""จัดที่ดิน!BR46"")"),0)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IFERROR(__xludf.DUMMYFUNCTION("IMPORTRANGE(""https://docs.google.com/spreadsheets/d/1XWAQStnk-4SwqDmLtmXYiTMKHgktTP8We1SCoS47DrQ/edit?usp=sharing"",""จัดที่ดิน!BS46"")"),0)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IFERROR(__xludf.DUMMYFUNCTION("IMPORTRANGE(""https://docs.google.com/spreadsheets/d/1QqKyyYR6Q21VydFLVH3TRQUabQu_ym0Zz7PgGX0-kHA/edit?usp=sharing"",""แผน!IO46"")"),0)</f>
        <v>0</v>
      </c>
      <c r="J728" s="892">
        <f ca="1">IFERROR(__xludf.DUMMYFUNCTION("IMPORTRANGE(""https://docs.google.com/spreadsheets/d/1XWAQStnk-4SwqDmLtmXYiTMKHgktTP8We1SCoS47DrQ/edit?usp=sharing"",""จัดที่ดิน!BT46"")"),0)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IFERROR(__xludf.DUMMYFUNCTION("IMPORTRANGE(""https://docs.google.com/spreadsheets/d/1QqKyyYR6Q21VydFLVH3TRQUabQu_ym0Zz7PgGX0-kHA/edit?usp=sharing"",""แผน!IP46"")"),0)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3000</v>
      </c>
      <c r="J785" s="804">
        <f t="shared" ca="1" si="318"/>
        <v>730</v>
      </c>
      <c r="K785" s="805">
        <f ca="1">IF(I785&gt;0,J785*100/I785,0)</f>
        <v>24.333333333333332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213920</v>
      </c>
      <c r="M786" s="1032">
        <f t="shared" ca="1" si="319"/>
        <v>213920</v>
      </c>
      <c r="N786" s="1032">
        <f t="shared" si="319"/>
        <v>72713</v>
      </c>
      <c r="O786" s="1032">
        <f t="shared" ref="O786:O791" ca="1" si="320">IF(L786&gt;0,N786*100/L786,0)</f>
        <v>33.990744203440542</v>
      </c>
      <c r="P786" s="1032">
        <f t="shared" ref="P786:P791" ca="1" si="321">IF(M786&gt;0,N786*100/M786,0)</f>
        <v>33.990744203440542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213920</v>
      </c>
      <c r="M788" s="899">
        <f t="shared" ca="1" si="322"/>
        <v>213920</v>
      </c>
      <c r="N788" s="899">
        <f t="shared" si="322"/>
        <v>72713</v>
      </c>
      <c r="O788" s="899">
        <f t="shared" ca="1" si="320"/>
        <v>33.990744203440542</v>
      </c>
      <c r="P788" s="899">
        <f t="shared" ca="1" si="321"/>
        <v>33.990744203440542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213920</v>
      </c>
      <c r="M789" s="893">
        <f t="shared" ca="1" si="323"/>
        <v>213920</v>
      </c>
      <c r="N789" s="893">
        <f t="shared" si="323"/>
        <v>72713</v>
      </c>
      <c r="O789" s="893">
        <f t="shared" ca="1" si="320"/>
        <v>33.990744203440542</v>
      </c>
      <c r="P789" s="893">
        <f t="shared" ca="1" si="321"/>
        <v>33.990744203440542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IFERROR(__xludf.DUMMYFUNCTION("IMPORTRANGE(""https://docs.google.com/spreadsheets/d/1QqKyyYR6Q21VydFLVH3TRQUabQu_ym0Zz7PgGX0-kHA/edit?usp=sharing"",""แผน!JJ46"")"),213920)</f>
        <v>213920</v>
      </c>
      <c r="M791" s="899">
        <f ca="1">L791</f>
        <v>213920</v>
      </c>
      <c r="N791" s="899">
        <f>N792+N793+N794+N795</f>
        <v>72713</v>
      </c>
      <c r="O791" s="899">
        <f t="shared" ca="1" si="320"/>
        <v>33.990744203440542</v>
      </c>
      <c r="P791" s="899">
        <f t="shared" ca="1" si="321"/>
        <v>33.990744203440542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2675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v>70038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IFERROR(__xludf.DUMMYFUNCTION("IMPORTRANGE(""https://docs.google.com/spreadsheets/d/1MaWodYyGHDf7siQLGxnXhG4mBNTNIuy296niS2xXulU/edit?usp=sharing"",""RTK!H46"")"),87)</f>
        <v>87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IFERROR(__xludf.DUMMYFUNCTION("IMPORTRANGE(""https://docs.google.com/spreadsheets/d/1MaWodYyGHDf7siQLGxnXhG4mBNTNIuy296niS2xXulU/edit?usp=sharing"",""RTK!G46"")"),3000)</f>
        <v>3000</v>
      </c>
      <c r="J801" s="819">
        <f ca="1">IFERROR(__xludf.DUMMYFUNCTION("IMPORTRANGE(""https://docs.google.com/spreadsheets/d/1MaWodYyGHDf7siQLGxnXhG4mBNTNIuy296niS2xXulU/edit?usp=sharing"",""RTK!I46"")"),730)</f>
        <v>730</v>
      </c>
      <c r="K801" s="820">
        <f ca="1">IF(I801&gt;0,J801*100/I801,0)</f>
        <v>24.333333333333332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344"/>
      <c r="B802" s="1345"/>
      <c r="C802" s="1345"/>
      <c r="D802" s="1345"/>
      <c r="E802" s="1333"/>
      <c r="F802" s="1515" t="s">
        <v>322</v>
      </c>
      <c r="G802" s="1124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IFERROR(__xludf.DUMMYFUNCTION("IMPORTRANGE(""https://docs.google.com/spreadsheets/d/1MaWodYyGHDf7siQLGxnXhG4mBNTNIuy296niS2xXulU/edit?usp=sharing"",""RTK!L46"")"),0)</f>
        <v>0</v>
      </c>
      <c r="K802" s="1511"/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>
      <c r="A803" s="1344"/>
      <c r="B803" s="1345"/>
      <c r="C803" s="1345"/>
      <c r="D803" s="1345"/>
      <c r="E803" s="1333"/>
      <c r="F803" s="1333"/>
      <c r="G803" s="1124"/>
      <c r="H803" s="817" t="s">
        <v>46</v>
      </c>
      <c r="I803" s="818">
        <f ca="1">IFERROR(__xludf.DUMMYFUNCTION("IMPORTRANGE(""https://docs.google.com/spreadsheets/d/1MaWodYyGHDf7siQLGxnXhG4mBNTNIuy296niS2xXulU/edit?usp=sharing"",""RTK!K46"")"),0)</f>
        <v>0</v>
      </c>
      <c r="J803" s="819">
        <f ca="1">IFERROR(__xludf.DUMMYFUNCTION("IMPORTRANGE(""https://docs.google.com/spreadsheets/d/1MaWodYyGHDf7siQLGxnXhG4mBNTNIuy296niS2xXulU/edit?usp=sharing"",""RTK!M46"")"),0)</f>
        <v>0</v>
      </c>
      <c r="K803" s="820">
        <f t="shared" ref="K803:K804" ca="1" si="327">IF(I803&gt;0,J803*100/I803,0)</f>
        <v>0</v>
      </c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892">
        <f ca="1">IFERROR(__xludf.DUMMYFUNCTION("IMPORTRANGE(""https://docs.google.com/spreadsheets/d/19vJNZY_5yjcGF2XGBMNZRCAIB0Kwfpjp8YEOfu-bneM/edit?usp=sharing"",""งานกองทุน!F46"")"),3559684.8)</f>
        <v>3559684.8</v>
      </c>
      <c r="K821" s="893">
        <f t="shared" ref="K821:K828" ca="1" si="336">IF(I821&gt;0,J821*100/I821,0)</f>
        <v>60.451109170847388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IFERROR(__xludf.DUMMYFUNCTION("IMPORTRANGE(""https://docs.google.com/spreadsheets/d/19vJNZY_5yjcGF2XGBMNZRCAIB0Kwfpjp8YEOfu-bneM/edit?usp=sharing"",""งานกองทุน!C46"")"),285)</f>
        <v>285</v>
      </c>
      <c r="J822" s="892">
        <f ca="1">IFERROR(__xludf.DUMMYFUNCTION("IMPORTRANGE(""https://docs.google.com/spreadsheets/d/19vJNZY_5yjcGF2XGBMNZRCAIB0Kwfpjp8YEOfu-bneM/edit?usp=sharing"",""งานกองทุน!E46"")"),175)</f>
        <v>175</v>
      </c>
      <c r="K822" s="893">
        <f t="shared" ca="1" si="336"/>
        <v>61.403508771929822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892">
        <f ca="1">IFERROR(__xludf.DUMMYFUNCTION("IMPORTRANGE(""https://docs.google.com/spreadsheets/d/19vJNZY_5yjcGF2XGBMNZRCAIB0Kwfpjp8YEOfu-bneM/edit?usp=sharing"",""งานกองทุน!K46"")"),536203.95)</f>
        <v>536203.94999999995</v>
      </c>
      <c r="K823" s="893">
        <f t="shared" ca="1" si="336"/>
        <v>8.8967547693368125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IFERROR(__xludf.DUMMYFUNCTION("IMPORTRANGE(""https://docs.google.com/spreadsheets/d/19vJNZY_5yjcGF2XGBMNZRCAIB0Kwfpjp8YEOfu-bneM/edit?usp=sharing"",""งานกองทุน!H46"")"),375)</f>
        <v>375</v>
      </c>
      <c r="J824" s="892">
        <f ca="1">IFERROR(__xludf.DUMMYFUNCTION("IMPORTRANGE(""https://docs.google.com/spreadsheets/d/19vJNZY_5yjcGF2XGBMNZRCAIB0Kwfpjp8YEOfu-bneM/edit?usp=sharing"",""งานกองทุน!J46"")"),82)</f>
        <v>82</v>
      </c>
      <c r="K824" s="893">
        <f t="shared" ca="1" si="336"/>
        <v>21.866666666666667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IFERROR(__xludf.DUMMYFUNCTION("IMPORTRANGE(""https://docs.google.com/spreadsheets/d/19vJNZY_5yjcGF2XGBMNZRCAIB0Kwfpjp8YEOfu-bneM/edit?usp=sharing"",""งานกองทุน!N46"")"),0)</f>
        <v>0</v>
      </c>
      <c r="J825" s="892">
        <f ca="1">IFERROR(__xludf.DUMMYFUNCTION("IMPORTRANGE(""https://docs.google.com/spreadsheets/d/19vJNZY_5yjcGF2XGBMNZRCAIB0Kwfpjp8YEOfu-bneM/edit?usp=sharing"",""งานกองทุน!P46"")"),1384444.5)</f>
        <v>1384444.5</v>
      </c>
      <c r="K825" s="893">
        <f t="shared" ca="1" si="336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IFERROR(__xludf.DUMMYFUNCTION("IMPORTRANGE(""https://docs.google.com/spreadsheets/d/19vJNZY_5yjcGF2XGBMNZRCAIB0Kwfpjp8YEOfu-bneM/edit?usp=sharing"",""งานกองทุน!M46"")"),0)</f>
        <v>0</v>
      </c>
      <c r="J826" s="892">
        <f ca="1">IFERROR(__xludf.DUMMYFUNCTION("IMPORTRANGE(""https://docs.google.com/spreadsheets/d/19vJNZY_5yjcGF2XGBMNZRCAIB0Kwfpjp8YEOfu-bneM/edit?usp=sharing"",""งานกองทุน!O46"")"),26)</f>
        <v>26</v>
      </c>
      <c r="K826" s="893">
        <f t="shared" ca="1" si="336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IFERROR(__xludf.DUMMYFUNCTION("IMPORTRANGE(""https://docs.google.com/spreadsheets/d/19vJNZY_5yjcGF2XGBMNZRCAIB0Kwfpjp8YEOfu-bneM/edit?usp=sharing"",""งานกองทุน!S46"")"),11100000)</f>
        <v>11100000</v>
      </c>
      <c r="J827" s="892">
        <f ca="1">IFERROR(__xludf.DUMMYFUNCTION("IMPORTRANGE(""https://docs.google.com/spreadsheets/d/19vJNZY_5yjcGF2XGBMNZRCAIB0Kwfpjp8YEOfu-bneM/edit?usp=sharing"",""งานกองทุน!U46"")"),4255000)</f>
        <v>4255000</v>
      </c>
      <c r="K827" s="893">
        <f t="shared" ca="1" si="336"/>
        <v>38.333333333333336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IFERROR(__xludf.DUMMYFUNCTION("IMPORTRANGE(""https://docs.google.com/spreadsheets/d/19vJNZY_5yjcGF2XGBMNZRCAIB0Kwfpjp8YEOfu-bneM/edit?usp=sharing"",""งานกองทุน!R46"")"),444)</f>
        <v>444</v>
      </c>
      <c r="J828" s="1149">
        <f ca="1">IFERROR(__xludf.DUMMYFUNCTION("IMPORTRANGE(""https://docs.google.com/spreadsheets/d/19vJNZY_5yjcGF2XGBMNZRCAIB0Kwfpjp8YEOfu-bneM/edit?usp=sharing"",""งานกองทุน!T46"")"),127)</f>
        <v>127</v>
      </c>
      <c r="K828" s="1251">
        <f t="shared" ca="1" si="336"/>
        <v>28.603603603603602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9BFE-3EF2-43B2-9AF3-4FBEC194E816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ca="1">L9+L10</f>
        <v>7044724</v>
      </c>
      <c r="M8" s="879">
        <f ca="1">M9+M10</f>
        <v>6097671.0800000001</v>
      </c>
      <c r="N8" s="879">
        <f ca="1">N9+N10</f>
        <v>3954021.2</v>
      </c>
      <c r="O8" s="879">
        <f ca="1">IF(L8&gt;0,N8*100/L8,0)</f>
        <v>56.127411095168526</v>
      </c>
      <c r="P8" s="879">
        <f ca="1">IF(M8&gt;0,N8*100/M8,0)</f>
        <v>64.844776770084493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>L12+L15</f>
        <v>0</v>
      </c>
      <c r="M9" s="886">
        <f>M12+M15</f>
        <v>0</v>
      </c>
      <c r="N9" s="886">
        <f>N12+N15</f>
        <v>0</v>
      </c>
      <c r="O9" s="886">
        <f>IF(L9&gt;0,N9*100/L9,0)</f>
        <v>0</v>
      </c>
      <c r="P9" s="886">
        <f>IF(M9&gt;0,N9*100/M9,0)</f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ca="1">L13+L16</f>
        <v>7044724</v>
      </c>
      <c r="M10" s="886">
        <f ca="1">M13+M16</f>
        <v>6097671.0800000001</v>
      </c>
      <c r="N10" s="886">
        <f ca="1">N13+N16</f>
        <v>3954021.2</v>
      </c>
      <c r="O10" s="886">
        <f ca="1">IF(L10&gt;0,N10*100/L10,0)</f>
        <v>56.127411095168526</v>
      </c>
      <c r="P10" s="886">
        <f ca="1">IF(M10&gt;0,N10*100/M10,0)</f>
        <v>64.844776770084493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ca="1">L12+L13</f>
        <v>6661624</v>
      </c>
      <c r="M11" s="893">
        <f ca="1">M12+M13</f>
        <v>5714571.0800000001</v>
      </c>
      <c r="N11" s="893">
        <f ca="1">N12+N13</f>
        <v>3570921.2</v>
      </c>
      <c r="O11" s="893">
        <f ca="1">IF(L11&gt;0,N11*100/L11,0)</f>
        <v>53.604364341187676</v>
      </c>
      <c r="P11" s="893">
        <f ca="1">IF(M11&gt;0,N11*100/M11,0)</f>
        <v>62.488000411747436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>L22+L32</f>
        <v>0</v>
      </c>
      <c r="M12" s="899">
        <f>M22+M32</f>
        <v>0</v>
      </c>
      <c r="N12" s="899">
        <f>N22+N32</f>
        <v>0</v>
      </c>
      <c r="O12" s="899">
        <f>IF(L12&gt;0,N12*100/L12,0)</f>
        <v>0</v>
      </c>
      <c r="P12" s="899">
        <f>IF(M12&gt;0,N12*100/M12,0)</f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ca="1">L23+L33</f>
        <v>6661624</v>
      </c>
      <c r="M13" s="899">
        <f ca="1">M23+M33</f>
        <v>5714571.0800000001</v>
      </c>
      <c r="N13" s="899">
        <f ca="1">N23+N33</f>
        <v>3570921.2</v>
      </c>
      <c r="O13" s="899">
        <f ca="1">IF(L13&gt;0,N13*100/L13,0)</f>
        <v>53.604364341187676</v>
      </c>
      <c r="P13" s="899">
        <f ca="1">IF(M13&gt;0,N13*100/M13,0)</f>
        <v>62.488000411747436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ca="1">L15+L16</f>
        <v>383100</v>
      </c>
      <c r="M14" s="893">
        <f ca="1">M15+M16</f>
        <v>383100</v>
      </c>
      <c r="N14" s="893">
        <f ca="1">N15+N16</f>
        <v>383100</v>
      </c>
      <c r="O14" s="893">
        <f ca="1">IF(L14&gt;0,N14*100/L14,0)</f>
        <v>100</v>
      </c>
      <c r="P14" s="893">
        <f ca="1">IF(M14&gt;0,N14*100/M14,0)</f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>L25+L35</f>
        <v>0</v>
      </c>
      <c r="M15" s="899">
        <f>M25+M35</f>
        <v>0</v>
      </c>
      <c r="N15" s="899">
        <f>N25+N35</f>
        <v>0</v>
      </c>
      <c r="O15" s="899">
        <f>IF(L15&gt;0,N15*100/L15,0)</f>
        <v>0</v>
      </c>
      <c r="P15" s="899">
        <f>IF(M15&gt;0,N15*100/M15,0)</f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ca="1">L26+L36</f>
        <v>383100</v>
      </c>
      <c r="M16" s="905">
        <f ca="1">M26+M36</f>
        <v>383100</v>
      </c>
      <c r="N16" s="905">
        <f ca="1">N26+N36</f>
        <v>383100</v>
      </c>
      <c r="O16" s="905">
        <f ca="1">IF(L16&gt;0,N16*100/L16,0)</f>
        <v>100</v>
      </c>
      <c r="P16" s="905">
        <f ca="1">IF(M16&gt;0,N16*100/M16,0)</f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ca="1">L19+L20</f>
        <v>5014676</v>
      </c>
      <c r="M18" s="879">
        <f ca="1">M19+M20</f>
        <v>4082107.08</v>
      </c>
      <c r="N18" s="879">
        <f ca="1">N19+N20</f>
        <v>3145172.5700000003</v>
      </c>
      <c r="O18" s="879">
        <f ca="1">IF(L18&gt;0,N18*100/L18,0)</f>
        <v>62.719357541743477</v>
      </c>
      <c r="P18" s="879">
        <f ca="1">IF(M18&gt;0,N18*100/M18,0)</f>
        <v>77.047772348000237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>L22+L25</f>
        <v>0</v>
      </c>
      <c r="M19" s="886">
        <f>M22+M25</f>
        <v>0</v>
      </c>
      <c r="N19" s="886">
        <f>N22+N25</f>
        <v>0</v>
      </c>
      <c r="O19" s="886">
        <f>IF(L19&gt;0,N19*100/L19,0)</f>
        <v>0</v>
      </c>
      <c r="P19" s="886">
        <f>IF(M19&gt;0,N19*100/M19,0)</f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ca="1">L23+L26</f>
        <v>5014676</v>
      </c>
      <c r="M20" s="886">
        <f ca="1">M23+M26</f>
        <v>4082107.08</v>
      </c>
      <c r="N20" s="886">
        <f ca="1">N23+N26</f>
        <v>3145172.5700000003</v>
      </c>
      <c r="O20" s="886">
        <f ca="1">IF(L20&gt;0,N20*100/L20,0)</f>
        <v>62.719357541743477</v>
      </c>
      <c r="P20" s="886">
        <f ca="1">IF(M20&gt;0,N20*100/M20,0)</f>
        <v>77.047772348000237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ca="1">L22+L23</f>
        <v>4631576</v>
      </c>
      <c r="M21" s="893">
        <f ca="1">M22+M23</f>
        <v>3699007.08</v>
      </c>
      <c r="N21" s="893">
        <f ca="1">N22+N23</f>
        <v>2762072.5700000003</v>
      </c>
      <c r="O21" s="893">
        <f ca="1">IF(L21&gt;0,N21*100/L21,0)</f>
        <v>59.635695711351815</v>
      </c>
      <c r="P21" s="893">
        <f ca="1">IF(M21&gt;0,N21*100/M21,0)</f>
        <v>74.670648373022303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>L45+L57+L70+L92+L123+L136+L153+L185+L169+L265+L281+L302+L319+L332+L349+L393+L406</f>
        <v>0</v>
      </c>
      <c r="M22" s="899">
        <f>M45+M57+M70+M92+M123+M136+M153+M185+M169+M265+M281+M302+M319+M332+M349+M393+M406</f>
        <v>0</v>
      </c>
      <c r="N22" s="899">
        <f>N45+N57+N70+N92+N123+N136+N153+N185+N169+N265+N281+N302+N319+N332+N349+N393+N406</f>
        <v>0</v>
      </c>
      <c r="O22" s="899">
        <f>IF(L22&gt;0,N22*100/L22,0)</f>
        <v>0</v>
      </c>
      <c r="P22" s="899">
        <f>IF(M22&gt;0,N22*100/M22,0)</f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ca="1">L46+L58+L71+L93+L124+L137+L154+L186+L170+L266+L282+L303+L320+L333+L350+L394+L407</f>
        <v>4631576</v>
      </c>
      <c r="M23" s="899">
        <f ca="1">M46+M58+M71+M93+M124+M137+M154+M186+M170+M266+M282+M303+M320+M333+M350+M394+M407</f>
        <v>3699007.08</v>
      </c>
      <c r="N23" s="899">
        <f ca="1">N46+N58+N71+N93+N124+N137+N154+N186+N170+N266+N282+N303+N320+N333+N350+N394+N407</f>
        <v>2762072.5700000003</v>
      </c>
      <c r="O23" s="899">
        <f ca="1">IF(L23&gt;0,N23*100/L23,0)</f>
        <v>59.635695711351815</v>
      </c>
      <c r="P23" s="899">
        <f ca="1">IF(M23&gt;0,N23*100/M23,0)</f>
        <v>74.670648373022303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ca="1">L25+L26</f>
        <v>383100</v>
      </c>
      <c r="M24" s="893">
        <f ca="1">M25+M26</f>
        <v>383100</v>
      </c>
      <c r="N24" s="893">
        <f ca="1">N25+N26</f>
        <v>383100</v>
      </c>
      <c r="O24" s="893">
        <f ca="1">IF(L24&gt;0,N24*100/L24,0)</f>
        <v>100</v>
      </c>
      <c r="P24" s="893">
        <f ca="1">IF(M24&gt;0,N24*100/M24,0)</f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>L48+L60+L73+L95+L126+L139+L156+L188+L172+L268+L284+L305+L322+L335+L352+L396+L409</f>
        <v>0</v>
      </c>
      <c r="M25" s="899">
        <f>M48+M60+M73+M95+M126+M139+M156+M188+M172+M268+M284+M305+M322+M335+M352+M396+M409</f>
        <v>0</v>
      </c>
      <c r="N25" s="899">
        <f>N48+N60+N73+N95+N126+N139+N156+N188+N172+N268+N284+N305+N322+N335+N352+N396+N409</f>
        <v>0</v>
      </c>
      <c r="O25" s="899">
        <f>IF(L25&gt;0,N25*100/L25,0)</f>
        <v>0</v>
      </c>
      <c r="P25" s="899">
        <f>IF(M25&gt;0,N25*100/M25,0)</f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ca="1">L49+L61+L74+L96+L127+L140+L157+L189+L173+L269+L285+L306+L323+L336+L353+L397+L410</f>
        <v>383100</v>
      </c>
      <c r="M26" s="905">
        <f ca="1">M49+M61+M74+M96+M127+M140+M157+M189+M173+M269+M285+M306+M323+M336+M353+M397+M410</f>
        <v>383100</v>
      </c>
      <c r="N26" s="905">
        <f ca="1">N49+N61+N74+N96+N127+N140+N157+N189+N173+N269+N285+N306+N323+N336+N353+N397+N410</f>
        <v>383100</v>
      </c>
      <c r="O26" s="905">
        <f ca="1">IF(L26&gt;0,N26*100/L26,0)</f>
        <v>100</v>
      </c>
      <c r="P26" s="905">
        <f ca="1">IF(M26&gt;0,N26*100/M26,0)</f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ca="1">L29+L30</f>
        <v>2030048</v>
      </c>
      <c r="M28" s="879">
        <f ca="1">M29+M30</f>
        <v>2015564</v>
      </c>
      <c r="N28" s="879">
        <f>N29+N30</f>
        <v>808848.63</v>
      </c>
      <c r="O28" s="879">
        <f ca="1">IF(L28&gt;0,N28*100/L28,0)</f>
        <v>39.843817978688186</v>
      </c>
      <c r="P28" s="879">
        <f ca="1">IF(M28&gt;0,N28*100/M28,0)</f>
        <v>40.130138760168371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>L32+L35</f>
        <v>0</v>
      </c>
      <c r="M29" s="886">
        <f>M32+M35</f>
        <v>0</v>
      </c>
      <c r="N29" s="886">
        <f>N32+N35</f>
        <v>0</v>
      </c>
      <c r="O29" s="886">
        <f>IF(L29&gt;0,N29*100/L29,0)</f>
        <v>0</v>
      </c>
      <c r="P29" s="886">
        <f>IF(M29&gt;0,N29*100/M29,0)</f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ca="1">L33+L36</f>
        <v>2030048</v>
      </c>
      <c r="M30" s="886">
        <f ca="1">M33+M36</f>
        <v>2015564</v>
      </c>
      <c r="N30" s="886">
        <f>N33+N36</f>
        <v>808848.63</v>
      </c>
      <c r="O30" s="886">
        <f ca="1">IF(L30&gt;0,N30*100/L30,0)</f>
        <v>39.843817978688186</v>
      </c>
      <c r="P30" s="886">
        <f ca="1">IF(M30&gt;0,N30*100/M30,0)</f>
        <v>40.130138760168371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ca="1">L32+L33</f>
        <v>2030048</v>
      </c>
      <c r="M31" s="893">
        <f ca="1">M32+M33</f>
        <v>2015564</v>
      </c>
      <c r="N31" s="893">
        <f>N32+N33</f>
        <v>808848.63</v>
      </c>
      <c r="O31" s="893">
        <f ca="1">IF(L31&gt;0,N31*100/L31,0)</f>
        <v>39.843817978688186</v>
      </c>
      <c r="P31" s="893">
        <f ca="1">IF(M31&gt;0,N31*100/M31,0)</f>
        <v>40.130138760168371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>L423+L448+L471+L506+L527+L548+L633+L659+L689+L741+L758+L774+L790+L809</f>
        <v>0</v>
      </c>
      <c r="M32" s="899">
        <f>M423+M448+M471+M506+M527+M548+M633+M659+M689+M741+M758+M774+M790+M809</f>
        <v>0</v>
      </c>
      <c r="N32" s="899">
        <f>N423+N448+N471+N506+N527+N548+N633+N659+N689+N741+N758+N774+N790+N809</f>
        <v>0</v>
      </c>
      <c r="O32" s="899">
        <f>IF(L32&gt;0,N32*100/L32,0)</f>
        <v>0</v>
      </c>
      <c r="P32" s="899">
        <f>IF(M32&gt;0,N32*100/M32,0)</f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ca="1">L424+L449+L472+L507+L528+L549+L634+L660+L690+L742+L759+L775+L791+L810</f>
        <v>2030048</v>
      </c>
      <c r="M33" s="899">
        <f ca="1">M424+M449+M472+M507+M528+M549+M634+M660+M690+M742+M759+M775+M791+M810</f>
        <v>2015564</v>
      </c>
      <c r="N33" s="899">
        <f>N424+N449+N472+N507+N528+N549+N634+N660+N690+N742+N759+N775+N791+N810</f>
        <v>808848.63</v>
      </c>
      <c r="O33" s="899">
        <f ca="1">IF(L33&gt;0,N33*100/L33,0)</f>
        <v>39.843817978688186</v>
      </c>
      <c r="P33" s="899">
        <f ca="1">IF(M33&gt;0,N33*100/M33,0)</f>
        <v>40.130138760168371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ca="1">L35+L36</f>
        <v>0</v>
      </c>
      <c r="M34" s="893">
        <f>M35+M36</f>
        <v>0</v>
      </c>
      <c r="N34" s="893">
        <f>N35+N36</f>
        <v>0</v>
      </c>
      <c r="O34" s="893">
        <f ca="1">IF(L34&gt;0,N34*100/L34,0)</f>
        <v>0</v>
      </c>
      <c r="P34" s="893">
        <f>IF(M34&gt;0,N34*100/M34,0)</f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>L430+L455+L478+L513+L534+L556+L640+L666+L696+L748+L765+L781+L797+L816</f>
        <v>0</v>
      </c>
      <c r="M35" s="899">
        <f>M430+M455+M478+M513+M534+M556+M640+M666+M696+M748+M765+M781+M797+M816</f>
        <v>0</v>
      </c>
      <c r="N35" s="899">
        <f>N430+N455+N478+N513+N534+N556+N640+N666+N696+N748+N765+N781+N797+N816</f>
        <v>0</v>
      </c>
      <c r="O35" s="899">
        <f>IF(L35&gt;0,N35*100/L35,0)</f>
        <v>0</v>
      </c>
      <c r="P35" s="899">
        <f>IF(M35&gt;0,N35*100/M35,0)</f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ca="1">L431+L456+L479+L514+L535+L557+L641+L667+L697+L749+L766+L782+L798+L817</f>
        <v>0</v>
      </c>
      <c r="M36" s="905">
        <f>M431+M456+M479+M514+M535+M557+M641+M667+M697+M749+M766+M782+M798+M817</f>
        <v>0</v>
      </c>
      <c r="N36" s="905">
        <f>N431+N456+N479+N514+N535+N557+N641+N667+N697+N749+N766+N782+N798+N817</f>
        <v>0</v>
      </c>
      <c r="O36" s="905">
        <f ca="1">IF(L36&gt;0,N36*100/L36,0)</f>
        <v>0</v>
      </c>
      <c r="P36" s="905">
        <f>IF(M36&gt;0,N36*100/M36,0)</f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ca="1">L41+L53+L66+L88+L119+L132+L149+L165+L181+L261+L277+L298+L315+L328+L345+L389+L402</f>
        <v>5014676</v>
      </c>
      <c r="M37" s="912">
        <f ca="1">M41+M53+M66+M88+M119+M132+M149+M165+M181+M261+M277+M298+M315+M328+M345+M389+M402</f>
        <v>4082107.08</v>
      </c>
      <c r="N37" s="912">
        <f ca="1">N41+N53+N66+N88+N119+N132+N149+N165+N181+N261+N277+N298+N315+N328+N345+N389+N402</f>
        <v>3145172.5700000003</v>
      </c>
      <c r="O37" s="912">
        <f ca="1">IF(L37&gt;0,N37*100/L37,0)</f>
        <v>62.719357541743477</v>
      </c>
      <c r="P37" s="912">
        <f ca="1">IF(M37&gt;0,N37*100/M37,0)</f>
        <v>77.047772348000237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ca="1">L42+L43</f>
        <v>699341</v>
      </c>
      <c r="M41" s="938">
        <f ca="1">M42+M43</f>
        <v>718842.08</v>
      </c>
      <c r="N41" s="938">
        <f ca="1">N42+N43</f>
        <v>467296</v>
      </c>
      <c r="O41" s="938">
        <f ca="1">IF(L41&gt;0,N41*100/L41,0)</f>
        <v>66.819477193529337</v>
      </c>
      <c r="P41" s="938">
        <f ca="1">IF(M41&gt;0,N41*100/M41,0)</f>
        <v>65.006767550391601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>L45+L48</f>
        <v>0</v>
      </c>
      <c r="M42" s="944">
        <f>M45+M48</f>
        <v>0</v>
      </c>
      <c r="N42" s="944">
        <f>N45+N48</f>
        <v>0</v>
      </c>
      <c r="O42" s="944">
        <f>IF(L42&gt;0,N42*100/L42,0)</f>
        <v>0</v>
      </c>
      <c r="P42" s="944">
        <f>IF(M42&gt;0,N42*100/M42,0)</f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ca="1">L46+L49</f>
        <v>699341</v>
      </c>
      <c r="M43" s="944">
        <f ca="1">M46+M49</f>
        <v>718842.08</v>
      </c>
      <c r="N43" s="944">
        <f ca="1">N46+N49</f>
        <v>467296</v>
      </c>
      <c r="O43" s="944">
        <f ca="1">IF(L43&gt;0,N43*100/L43,0)</f>
        <v>66.819477193529337</v>
      </c>
      <c r="P43" s="944">
        <f ca="1">IF(M43&gt;0,N43*100/M43,0)</f>
        <v>65.006767550391601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ca="1">L45+L46</f>
        <v>699341</v>
      </c>
      <c r="M44" s="893">
        <f ca="1">M45+M46</f>
        <v>718842.08</v>
      </c>
      <c r="N44" s="893">
        <f ca="1">N45+N46</f>
        <v>467296</v>
      </c>
      <c r="O44" s="893">
        <f ca="1">IF(L44&gt;0,N44*100/L44,0)</f>
        <v>66.819477193529337</v>
      </c>
      <c r="P44" s="893">
        <f ca="1">IF(M44&gt;0,N44*100/M44,0)</f>
        <v>65.006767550391601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>IF(L45&gt;0,N45*100/L45,0)</f>
        <v>0</v>
      </c>
      <c r="P45" s="899">
        <f>IF(M45&gt;0,N45*100/M45,0)</f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IFERROR(__xludf.DUMMYFUNCTION("IMPORTRANGE(""https://docs.google.com/spreadsheets/d/1MeEWN-I1oV_STSDYn1IFDPWt_1FKiwhDph83XaGc0o0/edit?usp=sharing"",""งบพรบ!M47"")"),699341)</f>
        <v>699341</v>
      </c>
      <c r="M46" s="899">
        <f ca="1">IFERROR(__xludf.DUMMYFUNCTION("IMPORTRANGE(""https://docs.google.com/spreadsheets/d/1MeEWN-I1oV_STSDYn1IFDPWt_1FKiwhDph83XaGc0o0/edit?usp=sharing"",""งบพรบ!R47"")"),718842.08)</f>
        <v>718842.08</v>
      </c>
      <c r="N46" s="899">
        <f ca="1">IFERROR(__xludf.DUMMYFUNCTION("IMPORTRANGE(""https://docs.google.com/spreadsheets/d/1MeEWN-I1oV_STSDYn1IFDPWt_1FKiwhDph83XaGc0o0/edit?usp=sharing"",""งบพรบ!T47"")"),467296)</f>
        <v>467296</v>
      </c>
      <c r="O46" s="899">
        <f ca="1">IF(L46&gt;0,N46*100/L46,0)</f>
        <v>66.819477193529337</v>
      </c>
      <c r="P46" s="899">
        <f ca="1">IF(M46&gt;0,N46*100/M46,0)</f>
        <v>65.006767550391601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ca="1">L48+L49</f>
        <v>0</v>
      </c>
      <c r="M47" s="893">
        <f ca="1">M48+M49</f>
        <v>0</v>
      </c>
      <c r="N47" s="893">
        <f ca="1">N48+N49</f>
        <v>0</v>
      </c>
      <c r="O47" s="893">
        <f ca="1">IF(L47&gt;0,N47*100/L47,0)</f>
        <v>0</v>
      </c>
      <c r="P47" s="893">
        <f ca="1">IF(M47&gt;0,N47*100/M47,0)</f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>IF(L48&gt;0,N48*100/L48,0)</f>
        <v>0</v>
      </c>
      <c r="P48" s="899">
        <f>IF(M48&gt;0,N48*100/M48,0)</f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IFERROR(__xludf.DUMMYFUNCTION("IMPORTRANGE(""https://docs.google.com/spreadsheets/d/1MeEWN-I1oV_STSDYn1IFDPWt_1FKiwhDph83XaGc0o0/edit?usp=sharing"",""งบพรบ!P47"")"),0)</f>
        <v>0</v>
      </c>
      <c r="M49" s="905">
        <f ca="1">IFERROR(__xludf.DUMMYFUNCTION("IMPORTRANGE(""https://docs.google.com/spreadsheets/d/1MeEWN-I1oV_STSDYn1IFDPWt_1FKiwhDph83XaGc0o0/edit?usp=sharing"",""งบพรบ!S47"")"),0)</f>
        <v>0</v>
      </c>
      <c r="N49" s="905">
        <f ca="1">IFERROR(__xludf.DUMMYFUNCTION("IMPORTRANGE(""https://docs.google.com/spreadsheets/d/1MeEWN-I1oV_STSDYn1IFDPWt_1FKiwhDph83XaGc0o0/edit?usp=sharing"",""งบพรบ!U47"")"),0)</f>
        <v>0</v>
      </c>
      <c r="O49" s="905">
        <f ca="1">IF(L49&gt;0,N49*100/L49,0)</f>
        <v>0</v>
      </c>
      <c r="P49" s="905">
        <f ca="1">IF(M49&gt;0,N49*100/M49,0)</f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ca="1">L54+L55</f>
        <v>842400</v>
      </c>
      <c r="M53" s="968">
        <f ca="1">M54+M55</f>
        <v>633700</v>
      </c>
      <c r="N53" s="968">
        <f ca="1">N54+N55</f>
        <v>469906.24</v>
      </c>
      <c r="O53" s="968">
        <f ca="1">IF(L53&gt;0,N53*100/L53,0)</f>
        <v>55.781842355175691</v>
      </c>
      <c r="P53" s="968">
        <f ca="1">IF(M53&gt;0,N53*100/M53,0)</f>
        <v>74.152791541738992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>L57+L60</f>
        <v>0</v>
      </c>
      <c r="M54" s="974">
        <f>M57+M60</f>
        <v>0</v>
      </c>
      <c r="N54" s="974">
        <f>N57+N60</f>
        <v>0</v>
      </c>
      <c r="O54" s="974">
        <f>IF(L54&gt;0,N54*100/L54,0)</f>
        <v>0</v>
      </c>
      <c r="P54" s="974">
        <f>IF(M54&gt;0,N54*100/M54,0)</f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ca="1">L58+L61</f>
        <v>842400</v>
      </c>
      <c r="M55" s="974">
        <f ca="1">M58+M61</f>
        <v>633700</v>
      </c>
      <c r="N55" s="974">
        <f ca="1">N58+N61</f>
        <v>469906.24</v>
      </c>
      <c r="O55" s="974">
        <f ca="1">IF(L55&gt;0,N55*100/L55,0)</f>
        <v>55.781842355175691</v>
      </c>
      <c r="P55" s="974">
        <f ca="1">IF(M55&gt;0,N55*100/M55,0)</f>
        <v>74.152791541738992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ca="1">L57+L58</f>
        <v>842400</v>
      </c>
      <c r="M56" s="893">
        <f ca="1">M57+M58</f>
        <v>633700</v>
      </c>
      <c r="N56" s="893">
        <f ca="1">N57+N58</f>
        <v>469906.24</v>
      </c>
      <c r="O56" s="893">
        <f ca="1">IF(L56&gt;0,N56*100/L56,0)</f>
        <v>55.781842355175691</v>
      </c>
      <c r="P56" s="893">
        <f ca="1">IF(M56&gt;0,N56*100/M56,0)</f>
        <v>74.152791541738992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>IF(L57&gt;0,N57*100/L57,0)</f>
        <v>0</v>
      </c>
      <c r="P57" s="899">
        <f>IF(M57&gt;0,N57*100/M57,0)</f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IFERROR(__xludf.DUMMYFUNCTION("IMPORTRANGE(""https://docs.google.com/spreadsheets/d/1MeEWN-I1oV_STSDYn1IFDPWt_1FKiwhDph83XaGc0o0/edit?usp=sharing"",""งบพรบ!W47"")"),842400)</f>
        <v>842400</v>
      </c>
      <c r="M58" s="899">
        <f ca="1">IFERROR(__xludf.DUMMYFUNCTION("IMPORTRANGE(""https://docs.google.com/spreadsheets/d/1MeEWN-I1oV_STSDYn1IFDPWt_1FKiwhDph83XaGc0o0/edit?usp=sharing"",""งบพรบ!AB47"")"),633700)</f>
        <v>633700</v>
      </c>
      <c r="N58" s="899">
        <f ca="1">IFERROR(__xludf.DUMMYFUNCTION("IMPORTRANGE(""https://docs.google.com/spreadsheets/d/1MeEWN-I1oV_STSDYn1IFDPWt_1FKiwhDph83XaGc0o0/edit?usp=sharing"",""งบพรบ!AD47"")"),469906.24)</f>
        <v>469906.24</v>
      </c>
      <c r="O58" s="899">
        <f ca="1">IF(L58&gt;0,N58*100/L58,0)</f>
        <v>55.781842355175691</v>
      </c>
      <c r="P58" s="899">
        <f ca="1">IF(M58&gt;0,N58*100/M58,0)</f>
        <v>74.152791541738992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ca="1">L60+L61</f>
        <v>0</v>
      </c>
      <c r="M59" s="893">
        <f ca="1">M60+M61</f>
        <v>0</v>
      </c>
      <c r="N59" s="893">
        <f ca="1">N60+N61</f>
        <v>0</v>
      </c>
      <c r="O59" s="893">
        <f ca="1">IF(L59&gt;0,N59*100/L59,0)</f>
        <v>0</v>
      </c>
      <c r="P59" s="893">
        <f ca="1">IF(M59&gt;0,N59*100/M59,0)</f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>IF(L60&gt;0,N60*100/L60,0)</f>
        <v>0</v>
      </c>
      <c r="P60" s="899">
        <f>IF(M60&gt;0,N60*100/M60,0)</f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IFERROR(__xludf.DUMMYFUNCTION("IMPORTRANGE(""https://docs.google.com/spreadsheets/d/1MeEWN-I1oV_STSDYn1IFDPWt_1FKiwhDph83XaGc0o0/edit?usp=sharing"",""งบพรบ!Z47"")"),0)</f>
        <v>0</v>
      </c>
      <c r="M61" s="905">
        <f ca="1">IFERROR(__xludf.DUMMYFUNCTION("IMPORTRANGE(""https://docs.google.com/spreadsheets/d/1MeEWN-I1oV_STSDYn1IFDPWt_1FKiwhDph83XaGc0o0/edit?usp=sharing"",""งบพรบ!AC47"")"),0)</f>
        <v>0</v>
      </c>
      <c r="N61" s="905">
        <f ca="1">IFERROR(__xludf.DUMMYFUNCTION("IMPORTRANGE(""https://docs.google.com/spreadsheets/d/1MeEWN-I1oV_STSDYn1IFDPWt_1FKiwhDph83XaGc0o0/edit?usp=sharing"",""งบพรบ!AE47"")"),0)</f>
        <v>0</v>
      </c>
      <c r="O61" s="905">
        <f ca="1">IF(L61&gt;0,N61*100/L61,0)</f>
        <v>0</v>
      </c>
      <c r="P61" s="905">
        <f ca="1">IF(M61&gt;0,N61*100/M61,0)</f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ca="1">I76</f>
        <v>2</v>
      </c>
      <c r="J64" s="994">
        <f>J76</f>
        <v>2</v>
      </c>
      <c r="K64" s="995">
        <f ca="1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ca="1">I77</f>
        <v>114</v>
      </c>
      <c r="J65" s="994">
        <f>J77</f>
        <v>114</v>
      </c>
      <c r="K65" s="995">
        <f ca="1">IF(I65&gt;0,J65*100/I65,0)</f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ca="1">L67+L68</f>
        <v>1380900</v>
      </c>
      <c r="M66" s="1004">
        <f ca="1">M67+M68</f>
        <v>1063010</v>
      </c>
      <c r="N66" s="1004">
        <f ca="1">N67+N68</f>
        <v>943708.38</v>
      </c>
      <c r="O66" s="1004">
        <f ca="1">IF(L66&gt;0,N66*100/L66,0)</f>
        <v>68.340095589832714</v>
      </c>
      <c r="P66" s="1004">
        <f ca="1">IF(M66&gt;0,N66*100/M66,0)</f>
        <v>88.776999275641813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>L70+L73</f>
        <v>0</v>
      </c>
      <c r="M67" s="899">
        <f>M70+M73</f>
        <v>0</v>
      </c>
      <c r="N67" s="899">
        <f>N70+N73</f>
        <v>0</v>
      </c>
      <c r="O67" s="899">
        <f>IF(L67&gt;0,N67*100/L67,0)</f>
        <v>0</v>
      </c>
      <c r="P67" s="899">
        <f>IF(M67&gt;0,N67*100/M67,0)</f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ca="1">L71+L74</f>
        <v>1380900</v>
      </c>
      <c r="M68" s="899">
        <f ca="1">M71+M74</f>
        <v>1063010</v>
      </c>
      <c r="N68" s="899">
        <f ca="1">N71+N74</f>
        <v>943708.38</v>
      </c>
      <c r="O68" s="899">
        <f ca="1">IF(L68&gt;0,N68*100/L68,0)</f>
        <v>68.340095589832714</v>
      </c>
      <c r="P68" s="899">
        <f ca="1">IF(M68&gt;0,N68*100/M68,0)</f>
        <v>88.776999275641813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ca="1">L70+L71</f>
        <v>1380900</v>
      </c>
      <c r="M69" s="893">
        <f ca="1">M70+M71</f>
        <v>1063010</v>
      </c>
      <c r="N69" s="893">
        <f ca="1">N70+N71</f>
        <v>943708.38</v>
      </c>
      <c r="O69" s="893">
        <f ca="1">IF(L69&gt;0,N69*100/L69,0)</f>
        <v>68.340095589832714</v>
      </c>
      <c r="P69" s="893">
        <f ca="1">IF(M69&gt;0,N69*100/M69,0)</f>
        <v>88.776999275641813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>IF(L70&gt;0,N70*100/L70,0)</f>
        <v>0</v>
      </c>
      <c r="P70" s="899">
        <f>IF(M70&gt;0,N70*100/M70,0)</f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IFERROR(__xludf.DUMMYFUNCTION("IMPORTRANGE(""https://docs.google.com/spreadsheets/d/1MeEWN-I1oV_STSDYn1IFDPWt_1FKiwhDph83XaGc0o0/edit?usp=sharing"",""งบพรบ!AG47"")"),1380900)</f>
        <v>1380900</v>
      </c>
      <c r="M71" s="899">
        <f ca="1">IFERROR(__xludf.DUMMYFUNCTION("IMPORTRANGE(""https://docs.google.com/spreadsheets/d/1MeEWN-I1oV_STSDYn1IFDPWt_1FKiwhDph83XaGc0o0/edit?usp=sharing"",""งบพรบ!AL47"")"),1063010)</f>
        <v>1063010</v>
      </c>
      <c r="N71" s="899">
        <f ca="1">IFERROR(__xludf.DUMMYFUNCTION("IMPORTRANGE(""https://docs.google.com/spreadsheets/d/1MeEWN-I1oV_STSDYn1IFDPWt_1FKiwhDph83XaGc0o0/edit?usp=sharing"",""งบพรบ!AN47"")"),943708.38)</f>
        <v>943708.38</v>
      </c>
      <c r="O71" s="899">
        <f ca="1">IF(L71&gt;0,N71*100/L71,0)</f>
        <v>68.340095589832714</v>
      </c>
      <c r="P71" s="899">
        <f ca="1">IF(M71&gt;0,N71*100/M71,0)</f>
        <v>88.776999275641813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ca="1">L73+L74</f>
        <v>0</v>
      </c>
      <c r="M72" s="893">
        <f ca="1">M73+M74</f>
        <v>0</v>
      </c>
      <c r="N72" s="893">
        <f ca="1">N73+N74</f>
        <v>0</v>
      </c>
      <c r="O72" s="893">
        <f ca="1">IF(L72&gt;0,N72*100/L72,0)</f>
        <v>0</v>
      </c>
      <c r="P72" s="893">
        <f ca="1">IF(M72&gt;0,N72*100/M72,0)</f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>IF(L73&gt;0,N73*100/L73,0)</f>
        <v>0</v>
      </c>
      <c r="P73" s="899">
        <f>IF(M73&gt;0,N73*100/M73,0)</f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IFERROR(__xludf.DUMMYFUNCTION("IMPORTRANGE(""https://docs.google.com/spreadsheets/d/1MeEWN-I1oV_STSDYn1IFDPWt_1FKiwhDph83XaGc0o0/edit?usp=sharing"",""งบพรบ!AJ47"")"),0)</f>
        <v>0</v>
      </c>
      <c r="M74" s="899">
        <f ca="1">IFERROR(__xludf.DUMMYFUNCTION("IMPORTRANGE(""https://docs.google.com/spreadsheets/d/1MeEWN-I1oV_STSDYn1IFDPWt_1FKiwhDph83XaGc0o0/edit?usp=sharing"",""งบพรบ!AM47"")"),0)</f>
        <v>0</v>
      </c>
      <c r="N74" s="899">
        <f ca="1">IFERROR(__xludf.DUMMYFUNCTION("IMPORTRANGE(""https://docs.google.com/spreadsheets/d/1MeEWN-I1oV_STSDYn1IFDPWt_1FKiwhDph83XaGc0o0/edit?usp=sharing"",""งบพรบ!AO47"")"),0)</f>
        <v>0</v>
      </c>
      <c r="O74" s="899">
        <f ca="1">IF(L74&gt;0,N74*100/L74,0)</f>
        <v>0</v>
      </c>
      <c r="P74" s="899">
        <f ca="1">IF(M74&gt;0,N74*100/M74,0)</f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ca="1">I78+I80+I82</f>
        <v>2</v>
      </c>
      <c r="J76" s="892">
        <f>J78+J80+J82</f>
        <v>2</v>
      </c>
      <c r="K76" s="1010">
        <f ca="1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ca="1">I79+I81+I83</f>
        <v>114</v>
      </c>
      <c r="J77" s="892">
        <f>J79+J81+J83</f>
        <v>114</v>
      </c>
      <c r="K77" s="1010">
        <f ca="1">IF(I77&gt;0,J77*100/I77,0)</f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IFERROR(__xludf.DUMMYFUNCTION("IMPORTRANGE(""https://docs.google.com/spreadsheets/d/1QqKyyYR6Q21VydFLVH3TRQUabQu_ym0Zz7PgGX0-kHA/edit?usp=sharing"",""แผน!H47"")"),1)</f>
        <v>1</v>
      </c>
      <c r="J78" s="1024">
        <v>1</v>
      </c>
      <c r="K78" s="1010">
        <f ca="1">IF(I78&gt;0,J78*100/I78,0)</f>
        <v>100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IFERROR(__xludf.DUMMYFUNCTION("IMPORTRANGE(""https://docs.google.com/spreadsheets/d/1QqKyyYR6Q21VydFLVH3TRQUabQu_ym0Zz7PgGX0-kHA/edit?usp=sharing"",""แผน!I47"")"),50)</f>
        <v>50</v>
      </c>
      <c r="J79" s="1024">
        <v>50</v>
      </c>
      <c r="K79" s="1010">
        <f ca="1">IF(I79&gt;0,J79*100/I79,0)</f>
        <v>100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IFERROR(__xludf.DUMMYFUNCTION("IMPORTRANGE(""https://docs.google.com/spreadsheets/d/1QqKyyYR6Q21VydFLVH3TRQUabQu_ym0Zz7PgGX0-kHA/edit?usp=sharing"",""แผน!F47"")"),0)</f>
        <v>0</v>
      </c>
      <c r="J80" s="1024">
        <v>0</v>
      </c>
      <c r="K80" s="1010">
        <f ca="1">IF(I80&gt;0,J80*100/I80,0)</f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IFERROR(__xludf.DUMMYFUNCTION("IMPORTRANGE(""https://docs.google.com/spreadsheets/d/1QqKyyYR6Q21VydFLVH3TRQUabQu_ym0Zz7PgGX0-kHA/edit?usp=sharing"",""แผน!G47"")"),0)</f>
        <v>0</v>
      </c>
      <c r="J81" s="1024">
        <v>0</v>
      </c>
      <c r="K81" s="1010">
        <f ca="1">IF(I81&gt;0,J81*100/I81,0)</f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IFERROR(__xludf.DUMMYFUNCTION("IMPORTRANGE(""https://docs.google.com/spreadsheets/d/1QqKyyYR6Q21VydFLVH3TRQUabQu_ym0Zz7PgGX0-kHA/edit?usp=sharing"",""แผน!D47"")"),1)</f>
        <v>1</v>
      </c>
      <c r="J82" s="1024">
        <v>1</v>
      </c>
      <c r="K82" s="1010">
        <f ca="1">IF(I82&gt;0,J82*100/I82,0)</f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IFERROR(__xludf.DUMMYFUNCTION("IMPORTRANGE(""https://docs.google.com/spreadsheets/d/1QqKyyYR6Q21VydFLVH3TRQUabQu_ym0Zz7PgGX0-kHA/edit?usp=sharing"",""แผน!E47"")"),64)</f>
        <v>64</v>
      </c>
      <c r="J83" s="1024">
        <v>64</v>
      </c>
      <c r="K83" s="1010">
        <f ca="1">IF(I83&gt;0,J83*100/I83,0)</f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IFERROR(__xludf.DUMMYFUNCTION("IMPORTRANGE(""https://docs.google.com/spreadsheets/d/1QqKyyYR6Q21VydFLVH3TRQUabQu_ym0Zz7PgGX0-kHA/edit?usp=sharing"",""แผน!J47"")"),2)</f>
        <v>2</v>
      </c>
      <c r="J84" s="1024">
        <v>1</v>
      </c>
      <c r="K84" s="1010">
        <f ca="1">IF(I84&gt;0,J84*100/I84,0)</f>
        <v>50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ca="1">I98</f>
        <v>60</v>
      </c>
      <c r="J86" s="994">
        <f>J98</f>
        <v>60</v>
      </c>
      <c r="K86" s="995">
        <f ca="1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ca="1">I99</f>
        <v>20</v>
      </c>
      <c r="J87" s="994">
        <f>J99</f>
        <v>20</v>
      </c>
      <c r="K87" s="995">
        <f ca="1">IF(I87&gt;0,J87*100/I87,0)</f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ca="1">L89+L90</f>
        <v>140780</v>
      </c>
      <c r="M88" s="1004">
        <f ca="1">M89+M90</f>
        <v>101480</v>
      </c>
      <c r="N88" s="1004">
        <f ca="1">N89+N90</f>
        <v>71130</v>
      </c>
      <c r="O88" s="1004">
        <f ca="1">IF(L88&gt;0,N88*100/L88,0)</f>
        <v>50.525642846995311</v>
      </c>
      <c r="P88" s="1004">
        <f ca="1">IF(M88&gt;0,N88*100/M88,0)</f>
        <v>70.092629089475764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>L92+L95</f>
        <v>0</v>
      </c>
      <c r="M89" s="899">
        <f>M92+M95</f>
        <v>0</v>
      </c>
      <c r="N89" s="899">
        <f>N92+N95</f>
        <v>0</v>
      </c>
      <c r="O89" s="899">
        <f>IF(L89&gt;0,N89*100/L89,0)</f>
        <v>0</v>
      </c>
      <c r="P89" s="899">
        <f>IF(M89&gt;0,N89*100/M89,0)</f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ca="1">L93+L96</f>
        <v>140780</v>
      </c>
      <c r="M90" s="899">
        <f ca="1">M93+M96</f>
        <v>101480</v>
      </c>
      <c r="N90" s="899">
        <f ca="1">N93+N96</f>
        <v>71130</v>
      </c>
      <c r="O90" s="899">
        <f ca="1">IF(L90&gt;0,N90*100/L90,0)</f>
        <v>50.525642846995311</v>
      </c>
      <c r="P90" s="899">
        <f ca="1">IF(M90&gt;0,N90*100/M90,0)</f>
        <v>70.092629089475764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ca="1">L92+L93</f>
        <v>140780</v>
      </c>
      <c r="M91" s="893">
        <f ca="1">M92+M93</f>
        <v>101480</v>
      </c>
      <c r="N91" s="893">
        <f ca="1">N92+N93</f>
        <v>71130</v>
      </c>
      <c r="O91" s="893">
        <f ca="1">IF(L91&gt;0,N91*100/L91,0)</f>
        <v>50.525642846995311</v>
      </c>
      <c r="P91" s="893">
        <f ca="1">IF(M91&gt;0,N91*100/M91,0)</f>
        <v>70.092629089475764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>IF(L92&gt;0,N92*100/L92,0)</f>
        <v>0</v>
      </c>
      <c r="P92" s="899">
        <f>IF(M92&gt;0,N92*100/M92,0)</f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IFERROR(__xludf.DUMMYFUNCTION("IMPORTRANGE(""https://docs.google.com/spreadsheets/d/1MeEWN-I1oV_STSDYn1IFDPWt_1FKiwhDph83XaGc0o0/edit?usp=sharing"",""งบพรบ!AQ47"")"),140780)</f>
        <v>140780</v>
      </c>
      <c r="M93" s="899">
        <f ca="1">IFERROR(__xludf.DUMMYFUNCTION("IMPORTRANGE(""https://docs.google.com/spreadsheets/d/1MeEWN-I1oV_STSDYn1IFDPWt_1FKiwhDph83XaGc0o0/edit?usp=sharing"",""งบพรบ!AV47"")"),101480)</f>
        <v>101480</v>
      </c>
      <c r="N93" s="899">
        <f ca="1">IFERROR(__xludf.DUMMYFUNCTION("IMPORTRANGE(""https://docs.google.com/spreadsheets/d/1MeEWN-I1oV_STSDYn1IFDPWt_1FKiwhDph83XaGc0o0/edit?usp=sharing"",""งบพรบ!AX47"")"),71130)</f>
        <v>71130</v>
      </c>
      <c r="O93" s="899">
        <f ca="1">IF(L93&gt;0,N93*100/L93,0)</f>
        <v>50.525642846995311</v>
      </c>
      <c r="P93" s="899">
        <f ca="1">IF(M93&gt;0,N93*100/M93,0)</f>
        <v>70.092629089475764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ca="1">L95+L96</f>
        <v>0</v>
      </c>
      <c r="M94" s="893">
        <f ca="1">M95+M96</f>
        <v>0</v>
      </c>
      <c r="N94" s="893">
        <f ca="1">N95+N96</f>
        <v>0</v>
      </c>
      <c r="O94" s="893">
        <f ca="1">IF(L94&gt;0,N94*100/L94,0)</f>
        <v>0</v>
      </c>
      <c r="P94" s="893">
        <f ca="1">IF(M94&gt;0,N94*100/M94,0)</f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>IF(L95&gt;0,N95*100/L95,0)</f>
        <v>0</v>
      </c>
      <c r="P95" s="899">
        <f>IF(M95&gt;0,N95*100/M95,0)</f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IFERROR(__xludf.DUMMYFUNCTION("IMPORTRANGE(""https://docs.google.com/spreadsheets/d/1MeEWN-I1oV_STSDYn1IFDPWt_1FKiwhDph83XaGc0o0/edit?usp=sharing"",""งบพรบ!AT47"")"),0)</f>
        <v>0</v>
      </c>
      <c r="M96" s="899">
        <f ca="1">IFERROR(__xludf.DUMMYFUNCTION("IMPORTRANGE(""https://docs.google.com/spreadsheets/d/1MeEWN-I1oV_STSDYn1IFDPWt_1FKiwhDph83XaGc0o0/edit?usp=sharing"",""งบพรบ!AW47"")"),0)</f>
        <v>0</v>
      </c>
      <c r="N96" s="899">
        <f ca="1">IFERROR(__xludf.DUMMYFUNCTION("IMPORTRANGE(""https://docs.google.com/spreadsheets/d/1MeEWN-I1oV_STSDYn1IFDPWt_1FKiwhDph83XaGc0o0/edit?usp=sharing"",""งบพรบ!AY47"")"),0)</f>
        <v>0</v>
      </c>
      <c r="O96" s="899">
        <f ca="1">IF(L96&gt;0,N96*100/L96,0)</f>
        <v>0</v>
      </c>
      <c r="P96" s="899">
        <f ca="1">IF(M96&gt;0,N96*100/M96,0)</f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IFERROR(__xludf.DUMMYFUNCTION("IMPORTRANGE(""https://docs.google.com/spreadsheets/d/1QqKyyYR6Q21VydFLVH3TRQUabQu_ym0Zz7PgGX0-kHA/edit?usp=sharing"",""แผน!K47"")"),60)</f>
        <v>60</v>
      </c>
      <c r="J98" s="892">
        <f>J102</f>
        <v>60</v>
      </c>
      <c r="K98" s="893">
        <f ca="1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IFERROR(__xludf.DUMMYFUNCTION("IMPORTRANGE(""https://docs.google.com/spreadsheets/d/1QqKyyYR6Q21VydFLVH3TRQUabQu_ym0Zz7PgGX0-kHA/edit?usp=sharing"",""แผน!L47"")"),20)</f>
        <v>20</v>
      </c>
      <c r="J99" s="892">
        <f>J104</f>
        <v>20</v>
      </c>
      <c r="K99" s="893">
        <f ca="1">IF(I99&gt;0,J99*100/I99,0)</f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IFERROR(__xludf.DUMMYFUNCTION("IMPORTRANGE(""https://docs.google.com/spreadsheets/d/1QqKyyYR6Q21VydFLVH3TRQUabQu_ym0Zz7PgGX0-kHA/edit?usp=sharing"",""แผน!M47"")"),3)</f>
        <v>3</v>
      </c>
      <c r="J100" s="892">
        <f>J107+J110</f>
        <v>2</v>
      </c>
      <c r="K100" s="893">
        <f ca="1">IF(I100&gt;0,J100*100/I100,0)</f>
        <v>66.666666666666671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IFERROR(__xludf.DUMMYFUNCTION("IMPORTRANGE(""https://docs.google.com/spreadsheets/d/1QqKyyYR6Q21VydFLVH3TRQUabQu_ym0Zz7PgGX0-kHA/edit?usp=sharing"",""แผน!N47"")"),60)</f>
        <v>60</v>
      </c>
      <c r="J102" s="1024">
        <v>60</v>
      </c>
      <c r="K102" s="893">
        <f ca="1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IFERROR(__xludf.DUMMYFUNCTION("IMPORTRANGE(""https://docs.google.com/spreadsheets/d/1QqKyyYR6Q21VydFLVH3TRQUabQu_ym0Zz7PgGX0-kHA/edit?usp=sharing"",""แผน!O47"")"),20)</f>
        <v>20</v>
      </c>
      <c r="J103" s="1024">
        <v>20</v>
      </c>
      <c r="K103" s="893">
        <f ca="1">IF(I103&gt;0,J103*100/I103,0)</f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IFERROR(__xludf.DUMMYFUNCTION("IMPORTRANGE(""https://docs.google.com/spreadsheets/d/1QqKyyYR6Q21VydFLVH3TRQUabQu_ym0Zz7PgGX0-kHA/edit?usp=sharing"",""แผน!O47"")"),20)</f>
        <v>20</v>
      </c>
      <c r="J104" s="1024">
        <v>20</v>
      </c>
      <c r="K104" s="893">
        <f ca="1">IF(I104&gt;0,J104*100/I104,0)</f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IFERROR(__xludf.DUMMYFUNCTION("IMPORTRANGE(""https://docs.google.com/spreadsheets/d/1QqKyyYR6Q21VydFLVH3TRQUabQu_ym0Zz7PgGX0-kHA/edit?usp=sharing"",""แผน!P47"")"),2)</f>
        <v>2</v>
      </c>
      <c r="J106" s="1024">
        <v>2</v>
      </c>
      <c r="K106" s="893">
        <f ca="1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IFERROR(__xludf.DUMMYFUNCTION("IMPORTRANGE(""https://docs.google.com/spreadsheets/d/1QqKyyYR6Q21VydFLVH3TRQUabQu_ym0Zz7PgGX0-kHA/edit?usp=sharing"",""แผน!P47"")"),2)</f>
        <v>2</v>
      </c>
      <c r="J107" s="1024">
        <v>2</v>
      </c>
      <c r="K107" s="893">
        <f ca="1">IF(I107&gt;0,J107*100/I107,0)</f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IFERROR(__xludf.DUMMYFUNCTION("IMPORTRANGE(""https://docs.google.com/spreadsheets/d/1QqKyyYR6Q21VydFLVH3TRQUabQu_ym0Zz7PgGX0-kHA/edit?usp=sharing"",""แผน!Q47"")"),1)</f>
        <v>1</v>
      </c>
      <c r="J109" s="1024">
        <v>0</v>
      </c>
      <c r="K109" s="893">
        <f ca="1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IFERROR(__xludf.DUMMYFUNCTION("IMPORTRANGE(""https://docs.google.com/spreadsheets/d/1QqKyyYR6Q21VydFLVH3TRQUabQu_ym0Zz7PgGX0-kHA/edit?usp=sharing"",""แผน!Q47"")"),1)</f>
        <v>1</v>
      </c>
      <c r="J110" s="1024">
        <v>0</v>
      </c>
      <c r="K110" s="893">
        <f ca="1">IF(I110&gt;0,J110*100/I110,0)</f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IFERROR(__xludf.DUMMYFUNCTION("IMPORTRANGE(""https://docs.google.com/spreadsheets/d/1QqKyyYR6Q21VydFLVH3TRQUabQu_ym0Zz7PgGX0-kHA/edit?usp=sharing"",""แผน!R47"")"),20)</f>
        <v>20</v>
      </c>
      <c r="J111" s="1031">
        <f>J114</f>
        <v>0</v>
      </c>
      <c r="K111" s="1032">
        <f ca="1">IF(I111&gt;0,J111*100/I111,0)</f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ca="1">I115+I116</f>
        <v>3</v>
      </c>
      <c r="J112" s="1031">
        <f>J115+J116</f>
        <v>0</v>
      </c>
      <c r="K112" s="1032">
        <f ca="1">IF(I112&gt;0,J112*100/I112,0)</f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IFERROR(__xludf.DUMMYFUNCTION("IMPORTRANGE(""https://docs.google.com/spreadsheets/d/1QqKyyYR6Q21VydFLVH3TRQUabQu_ym0Zz7PgGX0-kHA/edit?usp=sharing"",""แผน!R47"")"),20)</f>
        <v>20</v>
      </c>
      <c r="J113" s="1024">
        <v>0</v>
      </c>
      <c r="K113" s="893">
        <f ca="1">IF(I113&gt;0,J113*100/I113,0)</f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IFERROR(__xludf.DUMMYFUNCTION("IMPORTRANGE(""https://docs.google.com/spreadsheets/d/1QqKyyYR6Q21VydFLVH3TRQUabQu_ym0Zz7PgGX0-kHA/edit?usp=sharing"",""แผน!R47"")"),20)</f>
        <v>20</v>
      </c>
      <c r="J114" s="1024">
        <v>0</v>
      </c>
      <c r="K114" s="893">
        <f ca="1">IF(I114&gt;0,J114*100/I114,0)</f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IFERROR(__xludf.DUMMYFUNCTION("IMPORTRANGE(""https://docs.google.com/spreadsheets/d/1QqKyyYR6Q21VydFLVH3TRQUabQu_ym0Zz7PgGX0-kHA/edit?usp=sharing"",""แผน!S47"")"),2)</f>
        <v>2</v>
      </c>
      <c r="J115" s="1024">
        <v>0</v>
      </c>
      <c r="K115" s="893">
        <f ca="1">IF(I115&gt;0,J115*100/I115,0)</f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IFERROR(__xludf.DUMMYFUNCTION("IMPORTRANGE(""https://docs.google.com/spreadsheets/d/1QqKyyYR6Q21VydFLVH3TRQUabQu_ym0Zz7PgGX0-kHA/edit?usp=sharing"",""แผน!T47"")"),1)</f>
        <v>1</v>
      </c>
      <c r="J116" s="1024">
        <v>0</v>
      </c>
      <c r="K116" s="893">
        <f ca="1">IF(I116&gt;0,J116*100/I116,0)</f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ca="1">L120+L121</f>
        <v>0</v>
      </c>
      <c r="M119" s="1004">
        <f ca="1">M120+M121</f>
        <v>0</v>
      </c>
      <c r="N119" s="1004">
        <f ca="1">N120+N121</f>
        <v>0</v>
      </c>
      <c r="O119" s="1004">
        <f ca="1">IF(L119&gt;0,N119*100/L119,0)</f>
        <v>0</v>
      </c>
      <c r="P119" s="1004">
        <f ca="1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>L123+L126</f>
        <v>0</v>
      </c>
      <c r="M120" s="899">
        <f>M123+M126</f>
        <v>0</v>
      </c>
      <c r="N120" s="899">
        <f>N123+N126</f>
        <v>0</v>
      </c>
      <c r="O120" s="899">
        <f>IF(L120&gt;0,N120*100/L120,0)</f>
        <v>0</v>
      </c>
      <c r="P120" s="899">
        <f>IF(M120&gt;0,N120*100/M120,0)</f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ca="1">L124+L127</f>
        <v>0</v>
      </c>
      <c r="M121" s="899">
        <f ca="1">M124+M127</f>
        <v>0</v>
      </c>
      <c r="N121" s="899">
        <f ca="1">N124+N127</f>
        <v>0</v>
      </c>
      <c r="O121" s="899">
        <f ca="1">IF(L121&gt;0,N121*100/L121,0)</f>
        <v>0</v>
      </c>
      <c r="P121" s="899">
        <f ca="1">IF(M121&gt;0,N121*100/M121,0)</f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ca="1">L123+L124</f>
        <v>0</v>
      </c>
      <c r="M122" s="893">
        <f ca="1">M123+M124</f>
        <v>0</v>
      </c>
      <c r="N122" s="893">
        <f ca="1">N123+N124</f>
        <v>0</v>
      </c>
      <c r="O122" s="893">
        <f ca="1">IF(L122&gt;0,N122*100/L122,0)</f>
        <v>0</v>
      </c>
      <c r="P122" s="893">
        <f ca="1">IF(M122&gt;0,N122*100/M122,0)</f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>IF(L123&gt;0,N123*100/L123,0)</f>
        <v>0</v>
      </c>
      <c r="P123" s="899">
        <f>IF(M123&gt;0,N123*100/M123,0)</f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IFERROR(__xludf.DUMMYFUNCTION("IMPORTRANGE(""https://docs.google.com/spreadsheets/d/1MeEWN-I1oV_STSDYn1IFDPWt_1FKiwhDph83XaGc0o0/edit?usp=sharing"",""งบพรบ!BA47"")"),0)</f>
        <v>0</v>
      </c>
      <c r="M124" s="899">
        <f ca="1">IFERROR(__xludf.DUMMYFUNCTION("IMPORTRANGE(""https://docs.google.com/spreadsheets/d/1MeEWN-I1oV_STSDYn1IFDPWt_1FKiwhDph83XaGc0o0/edit?usp=sharing"",""งบพรบ!BF47"")"),0)</f>
        <v>0</v>
      </c>
      <c r="N124" s="899">
        <f ca="1">IFERROR(__xludf.DUMMYFUNCTION("IMPORTRANGE(""https://docs.google.com/spreadsheets/d/1MeEWN-I1oV_STSDYn1IFDPWt_1FKiwhDph83XaGc0o0/edit?usp=sharing"",""งบพรบ!BH47"")"),0)</f>
        <v>0</v>
      </c>
      <c r="O124" s="899">
        <f ca="1">IF(L124&gt;0,N124*100/L124,0)</f>
        <v>0</v>
      </c>
      <c r="P124" s="899">
        <f ca="1">IF(M124&gt;0,N124*100/M124,0)</f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ca="1">L126+L127</f>
        <v>0</v>
      </c>
      <c r="M125" s="893">
        <f ca="1">M126+M127</f>
        <v>0</v>
      </c>
      <c r="N125" s="893">
        <f ca="1">N126+N127</f>
        <v>0</v>
      </c>
      <c r="O125" s="893">
        <f ca="1">IF(L125&gt;0,N125*100/L125,0)</f>
        <v>0</v>
      </c>
      <c r="P125" s="893">
        <f ca="1">IF(M125&gt;0,N125*100/M125,0)</f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>IF(L126&gt;0,N126*100/L126,0)</f>
        <v>0</v>
      </c>
      <c r="P126" s="899">
        <f>IF(M126&gt;0,N126*100/M126,0)</f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IFERROR(__xludf.DUMMYFUNCTION("IMPORTRANGE(""https://docs.google.com/spreadsheets/d/1MeEWN-I1oV_STSDYn1IFDPWt_1FKiwhDph83XaGc0o0/edit?usp=sharing"",""งบพรบ!BD47"")"),0)</f>
        <v>0</v>
      </c>
      <c r="M127" s="899">
        <f ca="1">IFERROR(__xludf.DUMMYFUNCTION("IMPORTRANGE(""https://docs.google.com/spreadsheets/d/1MeEWN-I1oV_STSDYn1IFDPWt_1FKiwhDph83XaGc0o0/edit?usp=sharing"",""งบพรบ!BG47"")"),0)</f>
        <v>0</v>
      </c>
      <c r="N127" s="899">
        <f ca="1">IFERROR(__xludf.DUMMYFUNCTION("IMPORTRANGE(""https://docs.google.com/spreadsheets/d/1MeEWN-I1oV_STSDYn1IFDPWt_1FKiwhDph83XaGc0o0/edit?usp=sharing"",""งบพรบ!BI47"")"),0)</f>
        <v>0</v>
      </c>
      <c r="O127" s="899">
        <f ca="1">IF(L127&gt;0,N127*100/L127,0)</f>
        <v>0</v>
      </c>
      <c r="P127" s="899">
        <f ca="1">IF(M127&gt;0,N127*100/M127,0)</f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ca="1">I146</f>
        <v>3</v>
      </c>
      <c r="J130" s="994">
        <f>J146</f>
        <v>3</v>
      </c>
      <c r="K130" s="995">
        <f ca="1">IF(I130&gt;0,J130*100/I130,0)</f>
        <v>100</v>
      </c>
      <c r="L130" s="996"/>
      <c r="M130" s="996"/>
      <c r="N130" s="996"/>
      <c r="O130" s="996"/>
      <c r="P130" s="996"/>
    </row>
    <row r="131" spans="1:26" ht="19.5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ca="1">I143</f>
        <v>30</v>
      </c>
      <c r="J131" s="994">
        <f ca="1">J143</f>
        <v>30</v>
      </c>
      <c r="K131" s="995">
        <f ca="1">IF(I131&gt;0,J131*100/I131,0)</f>
        <v>100</v>
      </c>
      <c r="L131" s="996"/>
      <c r="M131" s="996"/>
      <c r="N131" s="996"/>
      <c r="O131" s="996"/>
      <c r="P131" s="996"/>
    </row>
    <row r="132" spans="1:26" ht="19.5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ca="1">L133+L134</f>
        <v>454965</v>
      </c>
      <c r="M132" s="1004">
        <f ca="1">M133+M134</f>
        <v>440600</v>
      </c>
      <c r="N132" s="1004">
        <f ca="1">N133+N134</f>
        <v>413070</v>
      </c>
      <c r="O132" s="1004">
        <f ca="1">IF(L132&gt;0,N132*100/L132,0)</f>
        <v>90.791599353796443</v>
      </c>
      <c r="P132" s="1004">
        <f ca="1">IF(M132&gt;0,N132*100/M132,0)</f>
        <v>93.751702224239679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>L136+L139</f>
        <v>0</v>
      </c>
      <c r="M133" s="899">
        <f>M136+M139</f>
        <v>0</v>
      </c>
      <c r="N133" s="899">
        <f>N136+N139</f>
        <v>0</v>
      </c>
      <c r="O133" s="899">
        <f>IF(L133&gt;0,N133*100/L133,0)</f>
        <v>0</v>
      </c>
      <c r="P133" s="899">
        <f>IF(M133&gt;0,N133*100/M133,0)</f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ca="1">L137+L140</f>
        <v>454965</v>
      </c>
      <c r="M134" s="899">
        <f ca="1">M137+M140</f>
        <v>440600</v>
      </c>
      <c r="N134" s="899">
        <f ca="1">N137+N140</f>
        <v>413070</v>
      </c>
      <c r="O134" s="899">
        <f ca="1">IF(L134&gt;0,N134*100/L134,0)</f>
        <v>90.791599353796443</v>
      </c>
      <c r="P134" s="899">
        <f ca="1">IF(M134&gt;0,N134*100/M134,0)</f>
        <v>93.751702224239679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ca="1">L136+L137</f>
        <v>145965</v>
      </c>
      <c r="M135" s="893">
        <f ca="1">M136+M137</f>
        <v>131600</v>
      </c>
      <c r="N135" s="893">
        <f ca="1">N136+N137</f>
        <v>104070</v>
      </c>
      <c r="O135" s="893">
        <f ca="1">IF(L135&gt;0,N135*100/L135,0)</f>
        <v>71.297913883465213</v>
      </c>
      <c r="P135" s="893">
        <f ca="1">IF(M135&gt;0,N135*100/M135,0)</f>
        <v>79.080547112462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>IF(L136&gt;0,N136*100/L136,0)</f>
        <v>0</v>
      </c>
      <c r="P136" s="899">
        <f>IF(M136&gt;0,N136*100/M136,0)</f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IFERROR(__xludf.DUMMYFUNCTION("IMPORTRANGE(""https://docs.google.com/spreadsheets/d/1MeEWN-I1oV_STSDYn1IFDPWt_1FKiwhDph83XaGc0o0/edit?usp=sharing"",""งบพรบ!BK47"")"),145965)</f>
        <v>145965</v>
      </c>
      <c r="M137" s="899">
        <f ca="1">IFERROR(__xludf.DUMMYFUNCTION("IMPORTRANGE(""https://docs.google.com/spreadsheets/d/1MeEWN-I1oV_STSDYn1IFDPWt_1FKiwhDph83XaGc0o0/edit?usp=sharing"",""งบพรบ!BP47"")"),131600)</f>
        <v>131600</v>
      </c>
      <c r="N137" s="899">
        <f ca="1">IFERROR(__xludf.DUMMYFUNCTION("IMPORTRANGE(""https://docs.google.com/spreadsheets/d/1MeEWN-I1oV_STSDYn1IFDPWt_1FKiwhDph83XaGc0o0/edit?usp=sharing"",""งบพรบ!BR47"")"),104070)</f>
        <v>104070</v>
      </c>
      <c r="O137" s="899">
        <f ca="1">IF(L137&gt;0,N137*100/L137,0)</f>
        <v>71.297913883465213</v>
      </c>
      <c r="P137" s="899">
        <f ca="1">IF(M137&gt;0,N137*100/M137,0)</f>
        <v>79.080547112462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ca="1">L139+L140</f>
        <v>309000</v>
      </c>
      <c r="M138" s="893">
        <f ca="1">M139+M140</f>
        <v>309000</v>
      </c>
      <c r="N138" s="893">
        <f ca="1">N139+N140</f>
        <v>309000</v>
      </c>
      <c r="O138" s="893">
        <f ca="1">IF(L138&gt;0,N138*100/L138,0)</f>
        <v>100</v>
      </c>
      <c r="P138" s="893">
        <f ca="1">IF(M138&gt;0,N138*100/M138,0)</f>
        <v>100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>IF(L139&gt;0,N139*100/L139,0)</f>
        <v>0</v>
      </c>
      <c r="P139" s="899">
        <f>IF(M139&gt;0,N139*100/M139,0)</f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IFERROR(__xludf.DUMMYFUNCTION("IMPORTRANGE(""https://docs.google.com/spreadsheets/d/1MeEWN-I1oV_STSDYn1IFDPWt_1FKiwhDph83XaGc0o0/edit?usp=sharing"",""งบพรบ!BN47"")"),309000)</f>
        <v>309000</v>
      </c>
      <c r="M140" s="899">
        <f ca="1">IFERROR(__xludf.DUMMYFUNCTION("IMPORTRANGE(""https://docs.google.com/spreadsheets/d/1MeEWN-I1oV_STSDYn1IFDPWt_1FKiwhDph83XaGc0o0/edit?usp=sharing"",""งบพรบ!BQ47"")"),309000)</f>
        <v>309000</v>
      </c>
      <c r="N140" s="899">
        <f ca="1">IFERROR(__xludf.DUMMYFUNCTION("IMPORTRANGE(""https://docs.google.com/spreadsheets/d/1MeEWN-I1oV_STSDYn1IFDPWt_1FKiwhDph83XaGc0o0/edit?usp=sharing"",""งบพรบ!BS47"")"),309000)</f>
        <v>309000</v>
      </c>
      <c r="O140" s="899">
        <f ca="1">IF(L140&gt;0,N140*100/L140,0)</f>
        <v>100</v>
      </c>
      <c r="P140" s="899">
        <f ca="1">IF(M140&gt;0,N140*100/M140,0)</f>
        <v>100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30</v>
      </c>
      <c r="J143" s="892">
        <f ca="1">IF(AND(J144&gt;=I144,J145&gt;=I145),J145,0)</f>
        <v>30</v>
      </c>
      <c r="K143" s="893">
        <f ca="1">IF(I143&gt;0,J143*100/I143,0)</f>
        <v>100</v>
      </c>
      <c r="L143" s="893"/>
      <c r="M143" s="893"/>
      <c r="N143" s="893"/>
      <c r="O143" s="893"/>
      <c r="P143" s="893"/>
    </row>
    <row r="144" spans="1:26" ht="19.5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IFERROR(__xludf.DUMMYFUNCTION("IMPORTRANGE(""https://docs.google.com/spreadsheets/d/1QqKyyYR6Q21VydFLVH3TRQUabQu_ym0Zz7PgGX0-kHA/edit?usp=sharing"",""แผน!U47"")"),15)</f>
        <v>15</v>
      </c>
      <c r="J144" s="1024">
        <v>15</v>
      </c>
      <c r="K144" s="893">
        <f ca="1">IF(I144&gt;0,J144*100/I144,0)</f>
        <v>100</v>
      </c>
      <c r="L144" s="893"/>
      <c r="M144" s="893"/>
      <c r="N144" s="893"/>
      <c r="O144" s="893"/>
      <c r="P144" s="893"/>
    </row>
    <row r="145" spans="1:26" ht="19.5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IFERROR(__xludf.DUMMYFUNCTION("IMPORTRANGE(""https://docs.google.com/spreadsheets/d/1QqKyyYR6Q21VydFLVH3TRQUabQu_ym0Zz7PgGX0-kHA/edit?usp=sharing"",""แผน!V47"")"),30)</f>
        <v>30</v>
      </c>
      <c r="J145" s="1024">
        <v>30</v>
      </c>
      <c r="K145" s="893">
        <f ca="1">IF(I145&gt;0,J145*100/I145,0)</f>
        <v>100</v>
      </c>
      <c r="L145" s="893"/>
      <c r="M145" s="893"/>
      <c r="N145" s="893"/>
      <c r="O145" s="893"/>
      <c r="P145" s="893"/>
    </row>
    <row r="146" spans="1:26" ht="19.5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IFERROR(__xludf.DUMMYFUNCTION("IMPORTRANGE(""https://docs.google.com/spreadsheets/d/1QqKyyYR6Q21VydFLVH3TRQUabQu_ym0Zz7PgGX0-kHA/edit?usp=sharing"",""แผน!W47"")"),3)</f>
        <v>3</v>
      </c>
      <c r="J146" s="1024">
        <v>3</v>
      </c>
      <c r="K146" s="893">
        <f ca="1">IF(I146&gt;0,J146*100/I146,0)</f>
        <v>100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ca="1">I159</f>
        <v>0</v>
      </c>
      <c r="J148" s="994">
        <f>J159</f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ca="1">L150+L151</f>
        <v>0</v>
      </c>
      <c r="M149" s="1004">
        <f ca="1">M150+M151</f>
        <v>0</v>
      </c>
      <c r="N149" s="1004">
        <f ca="1">N150+N151</f>
        <v>0</v>
      </c>
      <c r="O149" s="1004">
        <f ca="1">IF(L149&gt;0,N149*100/L149,0)</f>
        <v>0</v>
      </c>
      <c r="P149" s="1004">
        <f ca="1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>L153+L156</f>
        <v>0</v>
      </c>
      <c r="M150" s="899">
        <f>M153+M156</f>
        <v>0</v>
      </c>
      <c r="N150" s="899">
        <f>N153+N156</f>
        <v>0</v>
      </c>
      <c r="O150" s="899">
        <f>IF(L150&gt;0,N150*100/L150,0)</f>
        <v>0</v>
      </c>
      <c r="P150" s="899">
        <f>IF(M150&gt;0,N150*100/M150,0)</f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ca="1">L154+L157</f>
        <v>0</v>
      </c>
      <c r="M151" s="899">
        <f ca="1">M154+M157</f>
        <v>0</v>
      </c>
      <c r="N151" s="899">
        <f ca="1">N154+N157</f>
        <v>0</v>
      </c>
      <c r="O151" s="899">
        <f ca="1">IF(L151&gt;0,N151*100/L151,0)</f>
        <v>0</v>
      </c>
      <c r="P151" s="899">
        <f ca="1">IF(M151&gt;0,N151*100/M151,0)</f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ca="1">L153+L154</f>
        <v>0</v>
      </c>
      <c r="M152" s="893">
        <f ca="1">M153+M154</f>
        <v>0</v>
      </c>
      <c r="N152" s="893">
        <f ca="1">N153+N154</f>
        <v>0</v>
      </c>
      <c r="O152" s="893">
        <f ca="1">IF(L152&gt;0,N152*100/L152,0)</f>
        <v>0</v>
      </c>
      <c r="P152" s="893">
        <f ca="1">IF(M152&gt;0,N152*100/M152,0)</f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>IF(L153&gt;0,N153*100/L153,0)</f>
        <v>0</v>
      </c>
      <c r="P153" s="899">
        <f>IF(M153&gt;0,N153*100/M153,0)</f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IFERROR(__xludf.DUMMYFUNCTION("IMPORTRANGE(""https://docs.google.com/spreadsheets/d/1MeEWN-I1oV_STSDYn1IFDPWt_1FKiwhDph83XaGc0o0/edit?usp=sharing"",""งบพรบ!BU47"")"),0)</f>
        <v>0</v>
      </c>
      <c r="M154" s="899">
        <f ca="1">IFERROR(__xludf.DUMMYFUNCTION("IMPORTRANGE(""https://docs.google.com/spreadsheets/d/1MeEWN-I1oV_STSDYn1IFDPWt_1FKiwhDph83XaGc0o0/edit?usp=sharing"",""งบพรบ!BZ47"")"),0)</f>
        <v>0</v>
      </c>
      <c r="N154" s="899">
        <f ca="1">IFERROR(__xludf.DUMMYFUNCTION("IMPORTRANGE(""https://docs.google.com/spreadsheets/d/1MeEWN-I1oV_STSDYn1IFDPWt_1FKiwhDph83XaGc0o0/edit?usp=sharing"",""งบพรบ!CB47"")"),0)</f>
        <v>0</v>
      </c>
      <c r="O154" s="899">
        <f ca="1">IF(L154&gt;0,N154*100/L154,0)</f>
        <v>0</v>
      </c>
      <c r="P154" s="899">
        <f ca="1">IF(M154&gt;0,N154*100/M154,0)</f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ca="1">L156+L157</f>
        <v>0</v>
      </c>
      <c r="M155" s="893">
        <f ca="1">M156+M157</f>
        <v>0</v>
      </c>
      <c r="N155" s="893">
        <f ca="1">N156+N157</f>
        <v>0</v>
      </c>
      <c r="O155" s="893">
        <f ca="1">IF(L155&gt;0,N155*100/L155,0)</f>
        <v>0</v>
      </c>
      <c r="P155" s="893">
        <f ca="1">IF(M155&gt;0,N155*100/M155,0)</f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>IF(L156&gt;0,N156*100/L156,0)</f>
        <v>0</v>
      </c>
      <c r="P156" s="899">
        <f>IF(M156&gt;0,N156*100/M156,0)</f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IFERROR(__xludf.DUMMYFUNCTION("IMPORTRANGE(""https://docs.google.com/spreadsheets/d/1MeEWN-I1oV_STSDYn1IFDPWt_1FKiwhDph83XaGc0o0/edit?usp=sharing"",""งบพรบ!BX47"")"),0)</f>
        <v>0</v>
      </c>
      <c r="M157" s="899">
        <f ca="1">IFERROR(__xludf.DUMMYFUNCTION("IMPORTRANGE(""https://docs.google.com/spreadsheets/d/1MeEWN-I1oV_STSDYn1IFDPWt_1FKiwhDph83XaGc0o0/edit?usp=sharing"",""งบพรบ!CA47"")"),0)</f>
        <v>0</v>
      </c>
      <c r="N157" s="899">
        <f ca="1">IFERROR(__xludf.DUMMYFUNCTION("IMPORTRANGE(""https://docs.google.com/spreadsheets/d/1MeEWN-I1oV_STSDYn1IFDPWt_1FKiwhDph83XaGc0o0/edit?usp=sharing"",""งบพรบ!CC47"")"),0)</f>
        <v>0</v>
      </c>
      <c r="O157" s="899">
        <f ca="1">IF(L157&gt;0,N157*100/L157,0)</f>
        <v>0</v>
      </c>
      <c r="P157" s="899">
        <f ca="1">IF(M157&gt;0,N157*100/M157,0)</f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IFERROR(__xludf.DUMMYFUNCTION("IMPORTRANGE(""https://docs.google.com/spreadsheets/d/1QqKyyYR6Q21VydFLVH3TRQUabQu_ym0Zz7PgGX0-kHA/edit?usp=sharing"",""แผน!X47"")"),0)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 hidden="1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520">
        <f ca="1">I174+I177</f>
        <v>0</v>
      </c>
      <c r="J164" s="1520">
        <f>J174+J177</f>
        <v>0</v>
      </c>
      <c r="K164" s="1075">
        <f ca="1">IF(I164&gt;0,J164*100/I164,0)</f>
        <v>0</v>
      </c>
      <c r="L164" s="1075"/>
      <c r="M164" s="1075"/>
      <c r="N164" s="1075"/>
      <c r="O164" s="1075"/>
      <c r="P164" s="1075"/>
    </row>
    <row r="165" spans="1:26" ht="19.5" hidden="1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3">
        <f ca="1">L166+L167</f>
        <v>0</v>
      </c>
      <c r="M165" s="1003">
        <f ca="1">M166+M167</f>
        <v>0</v>
      </c>
      <c r="N165" s="1003">
        <f ca="1">N166+N167</f>
        <v>0</v>
      </c>
      <c r="O165" s="1003">
        <f ca="1">IF(L165&gt;0,N165*100/L165,0)</f>
        <v>0</v>
      </c>
      <c r="P165" s="1003">
        <f ca="1">IF(M165&gt;0,N165*100/M165,0)</f>
        <v>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>L169+L172</f>
        <v>0</v>
      </c>
      <c r="M166" s="899">
        <f>M169+M172</f>
        <v>0</v>
      </c>
      <c r="N166" s="899">
        <f>N169+N172</f>
        <v>0</v>
      </c>
      <c r="O166" s="899">
        <f>IF(L166&gt;0,N166*100/L166,0)</f>
        <v>0</v>
      </c>
      <c r="P166" s="899">
        <f>IF(M166&gt;0,N166*100/M166,0)</f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ca="1">L170+L173</f>
        <v>0</v>
      </c>
      <c r="M167" s="899">
        <f ca="1">M170+M173</f>
        <v>0</v>
      </c>
      <c r="N167" s="899">
        <f ca="1">N170+N173</f>
        <v>0</v>
      </c>
      <c r="O167" s="899">
        <f ca="1">IF(L167&gt;0,N167*100/L167,0)</f>
        <v>0</v>
      </c>
      <c r="P167" s="899">
        <f ca="1">IF(M167&gt;0,N167*100/M167,0)</f>
        <v>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 hidden="1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ca="1">L169+L170</f>
        <v>0</v>
      </c>
      <c r="M168" s="893">
        <f ca="1">M169+M170</f>
        <v>0</v>
      </c>
      <c r="N168" s="893">
        <f ca="1">N169+N170</f>
        <v>0</v>
      </c>
      <c r="O168" s="893">
        <f ca="1">IF(L168&gt;0,N168*100/L168,0)</f>
        <v>0</v>
      </c>
      <c r="P168" s="893">
        <f ca="1">IF(M168&gt;0,N168*100/M168,0)</f>
        <v>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>IF(L169&gt;0,N169*100/L169,0)</f>
        <v>0</v>
      </c>
      <c r="P169" s="899">
        <f>IF(M169&gt;0,N169*100/M169,0)</f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IFERROR(__xludf.DUMMYFUNCTION("IMPORTRANGE(""https://docs.google.com/spreadsheets/d/1MeEWN-I1oV_STSDYn1IFDPWt_1FKiwhDph83XaGc0o0/edit?usp=sharing"",""งบพรบ!CE47"")"),0)</f>
        <v>0</v>
      </c>
      <c r="M170" s="899">
        <f ca="1">IFERROR(__xludf.DUMMYFUNCTION("IMPORTRANGE(""https://docs.google.com/spreadsheets/d/1MeEWN-I1oV_STSDYn1IFDPWt_1FKiwhDph83XaGc0o0/edit?usp=sharing"",""งบพรบ!CJ47"")"),0)</f>
        <v>0</v>
      </c>
      <c r="N170" s="899">
        <f ca="1">IFERROR(__xludf.DUMMYFUNCTION("IMPORTRANGE(""https://docs.google.com/spreadsheets/d/1MeEWN-I1oV_STSDYn1IFDPWt_1FKiwhDph83XaGc0o0/edit?usp=sharing"",""งบพรบ!CL47"")"),0)</f>
        <v>0</v>
      </c>
      <c r="O170" s="899">
        <f ca="1">IF(L170&gt;0,N170*100/L170,0)</f>
        <v>0</v>
      </c>
      <c r="P170" s="899">
        <f ca="1">IF(M170&gt;0,N170*100/M170,0)</f>
        <v>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 hidden="1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ca="1">L172+L173</f>
        <v>0</v>
      </c>
      <c r="M171" s="893">
        <f ca="1">M172+M173</f>
        <v>0</v>
      </c>
      <c r="N171" s="893">
        <f ca="1">N172+N173</f>
        <v>0</v>
      </c>
      <c r="O171" s="893">
        <f ca="1">IF(L171&gt;0,N171*100/L171,0)</f>
        <v>0</v>
      </c>
      <c r="P171" s="893">
        <f ca="1">IF(M171&gt;0,N171*100/M171,0)</f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>IF(L172&gt;0,N172*100/L172,0)</f>
        <v>0</v>
      </c>
      <c r="P172" s="899">
        <f>IF(M172&gt;0,N172*100/M172,0)</f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IFERROR(__xludf.DUMMYFUNCTION("IMPORTRANGE(""https://docs.google.com/spreadsheets/d/1MeEWN-I1oV_STSDYn1IFDPWt_1FKiwhDph83XaGc0o0/edit?usp=sharing"",""งบพรบ!CH47"")"),0)</f>
        <v>0</v>
      </c>
      <c r="M173" s="899">
        <f ca="1">IFERROR(__xludf.DUMMYFUNCTION("IMPORTRANGE(""https://docs.google.com/spreadsheets/d/1MeEWN-I1oV_STSDYn1IFDPWt_1FKiwhDph83XaGc0o0/edit?usp=sharing"",""งบพรบ!CK47"")"),0)</f>
        <v>0</v>
      </c>
      <c r="N173" s="899">
        <f ca="1">IFERROR(__xludf.DUMMYFUNCTION("IMPORTRANGE(""https://docs.google.com/spreadsheets/d/1MeEWN-I1oV_STSDYn1IFDPWt_1FKiwhDph83XaGc0o0/edit?usp=sharing"",""งบพรบ!CM47"")"),0)</f>
        <v>0</v>
      </c>
      <c r="O173" s="899">
        <f ca="1">IF(L173&gt;0,N173*100/L173,0)</f>
        <v>0</v>
      </c>
      <c r="P173" s="899">
        <f ca="1">IF(M173&gt;0,N173*100/M173,0)</f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 hidden="1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ca="1">I176</f>
        <v>0</v>
      </c>
      <c r="J174" s="1080">
        <f>J176</f>
        <v>0</v>
      </c>
      <c r="K174" s="1081">
        <f ca="1">IF(I174&gt;0,J174*100/I174,0)</f>
        <v>0</v>
      </c>
      <c r="L174" s="1081"/>
      <c r="M174" s="1081"/>
      <c r="N174" s="1081"/>
      <c r="O174" s="1081"/>
      <c r="P174" s="1081"/>
    </row>
    <row r="175" spans="1:26" ht="19.5" hidden="1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 hidden="1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IFERROR(__xludf.DUMMYFUNCTION("IMPORTRANGE(""https://docs.google.com/spreadsheets/d/1QqKyyYR6Q21VydFLVH3TRQUabQu_ym0Zz7PgGX0-kHA/edit?usp=sharing"",""แผน!Y47"")"),0)</f>
        <v>0</v>
      </c>
      <c r="J176" s="1024">
        <v>0</v>
      </c>
      <c r="K176" s="1010">
        <f ca="1">IF(I176&gt;0,J176*100/I176,0)</f>
        <v>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ca="1">I225+I226</f>
        <v>0</v>
      </c>
      <c r="J180" s="1073">
        <f>J225+J226</f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ca="1">L182+L183</f>
        <v>77500</v>
      </c>
      <c r="M181" s="1004">
        <f ca="1">M182+M183</f>
        <v>67500</v>
      </c>
      <c r="N181" s="1004">
        <f ca="1">N182+N183</f>
        <v>45600</v>
      </c>
      <c r="O181" s="1004">
        <f ca="1">IF(L181&gt;0,N181*100/L181,0)</f>
        <v>58.838709677419352</v>
      </c>
      <c r="P181" s="1004">
        <f ca="1">IF(M181&gt;0,N181*100/M181,0)</f>
        <v>67.555555555555557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>L185+L188</f>
        <v>0</v>
      </c>
      <c r="M182" s="899">
        <f>M185+M188</f>
        <v>0</v>
      </c>
      <c r="N182" s="899">
        <f>N185+N188</f>
        <v>0</v>
      </c>
      <c r="O182" s="899">
        <f>IF(L182&gt;0,N182*100/L182,0)</f>
        <v>0</v>
      </c>
      <c r="P182" s="899">
        <f>IF(M182&gt;0,N182*100/M182,0)</f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ca="1">L186+L189</f>
        <v>77500</v>
      </c>
      <c r="M183" s="899">
        <f ca="1">M186+M189</f>
        <v>67500</v>
      </c>
      <c r="N183" s="899">
        <f ca="1">N186+N189</f>
        <v>45600</v>
      </c>
      <c r="O183" s="899">
        <f ca="1">IF(L183&gt;0,N183*100/L183,0)</f>
        <v>58.838709677419352</v>
      </c>
      <c r="P183" s="899">
        <f ca="1">IF(M183&gt;0,N183*100/M183,0)</f>
        <v>67.555555555555557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ca="1">L185+L186</f>
        <v>77500</v>
      </c>
      <c r="M184" s="893">
        <f ca="1">M185+M186</f>
        <v>67500</v>
      </c>
      <c r="N184" s="893">
        <f ca="1">N185+N186</f>
        <v>45600</v>
      </c>
      <c r="O184" s="893">
        <f ca="1">IF(L184&gt;0,N184*100/L184,0)</f>
        <v>58.838709677419352</v>
      </c>
      <c r="P184" s="893">
        <f ca="1">IF(M184&gt;0,N184*100/M184,0)</f>
        <v>67.555555555555557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>IF(L185&gt;0,N185*100/L185,0)</f>
        <v>0</v>
      </c>
      <c r="P185" s="899">
        <f>IF(M185&gt;0,N185*100/M185,0)</f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IFERROR(__xludf.DUMMYFUNCTION("IMPORTRANGE(""https://docs.google.com/spreadsheets/d/1MeEWN-I1oV_STSDYn1IFDPWt_1FKiwhDph83XaGc0o0/edit?usp=sharing"",""งบพรบ!CO47"")"),77500)</f>
        <v>77500</v>
      </c>
      <c r="M186" s="899">
        <f ca="1">IFERROR(__xludf.DUMMYFUNCTION("IMPORTRANGE(""https://docs.google.com/spreadsheets/d/1MeEWN-I1oV_STSDYn1IFDPWt_1FKiwhDph83XaGc0o0/edit?usp=sharing"",""งบพรบ!CT47"")"),67500)</f>
        <v>67500</v>
      </c>
      <c r="N186" s="899">
        <f ca="1">IFERROR(__xludf.DUMMYFUNCTION("IMPORTRANGE(""https://docs.google.com/spreadsheets/d/1MeEWN-I1oV_STSDYn1IFDPWt_1FKiwhDph83XaGc0o0/edit?usp=sharing"",""งบพรบ!CV47"")"),45600)</f>
        <v>45600</v>
      </c>
      <c r="O186" s="899">
        <f ca="1">IF(L186&gt;0,N186*100/L186,0)</f>
        <v>58.838709677419352</v>
      </c>
      <c r="P186" s="899">
        <f ca="1">IF(M186&gt;0,N186*100/M186,0)</f>
        <v>67.555555555555557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ca="1">L188+L189</f>
        <v>0</v>
      </c>
      <c r="M187" s="893">
        <f ca="1">M188+M189</f>
        <v>0</v>
      </c>
      <c r="N187" s="893">
        <f ca="1">N188+N189</f>
        <v>0</v>
      </c>
      <c r="O187" s="893">
        <f ca="1">IF(L187&gt;0,N187*100/L187,0)</f>
        <v>0</v>
      </c>
      <c r="P187" s="893">
        <f ca="1">IF(M187&gt;0,N187*100/M187,0)</f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>IF(L188&gt;0,N188*100/L188,0)</f>
        <v>0</v>
      </c>
      <c r="P188" s="899">
        <f>IF(M188&gt;0,N188*100/M188,0)</f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IFERROR(__xludf.DUMMYFUNCTION("IMPORTRANGE(""https://docs.google.com/spreadsheets/d/1MeEWN-I1oV_STSDYn1IFDPWt_1FKiwhDph83XaGc0o0/edit?usp=sharing"",""งบพรบ!CR47"")"),0)</f>
        <v>0</v>
      </c>
      <c r="M189" s="899">
        <f ca="1">IFERROR(__xludf.DUMMYFUNCTION("IMPORTRANGE(""https://docs.google.com/spreadsheets/d/1MeEWN-I1oV_STSDYn1IFDPWt_1FKiwhDph83XaGc0o0/edit?usp=sharing"",""งบพรบ!CU47"")"),0)</f>
        <v>0</v>
      </c>
      <c r="N189" s="899">
        <f ca="1">IFERROR(__xludf.DUMMYFUNCTION("IMPORTRANGE(""https://docs.google.com/spreadsheets/d/1MeEWN-I1oV_STSDYn1IFDPWt_1FKiwhDph83XaGc0o0/edit?usp=sharing"",""งบพรบ!CW47"")"),0)</f>
        <v>0</v>
      </c>
      <c r="O189" s="899">
        <f ca="1">IF(L189&gt;0,N189*100/L189,0)</f>
        <v>0</v>
      </c>
      <c r="P189" s="899">
        <f ca="1">IF(M189&gt;0,N189*100/M189,0)</f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ca="1">I193</f>
        <v>4</v>
      </c>
      <c r="J190" s="1089">
        <f>J193</f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IFERROR(__xludf.DUMMYFUNCTION("IMPORTRANGE(""https://docs.google.com/spreadsheets/d/1QqKyyYR6Q21VydFLVH3TRQUabQu_ym0Zz7PgGX0-kHA/edit?usp=sharing"",""แผน!Z47"")"),6000)</f>
        <v>6000</v>
      </c>
      <c r="M191" s="1004"/>
      <c r="N191" s="1092">
        <v>500</v>
      </c>
      <c r="O191" s="1004">
        <f ca="1">IF(L191&gt;0,N191*100/L191,0)</f>
        <v>8.3333333333333339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IFERROR(__xludf.DUMMYFUNCTION("IMPORTRANGE(""https://docs.google.com/spreadsheets/d/1QqKyyYR6Q21VydFLVH3TRQUabQu_ym0Zz7PgGX0-kHA/edit?usp=sharing"",""แผน!AC47"")"),4)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0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0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ca="1">I204</f>
        <v>3</v>
      </c>
      <c r="J197" s="1089">
        <f>J204</f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44000</v>
      </c>
      <c r="M198" s="1004"/>
      <c r="N198" s="1004">
        <f>N199+N200+N201+N202</f>
        <v>36630</v>
      </c>
      <c r="O198" s="1004">
        <f ca="1">IF(L198&gt;0,N198*100/L198,0)</f>
        <v>83.25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IFERROR(__xludf.DUMMYFUNCTION("IMPORTRANGE(""https://docs.google.com/spreadsheets/d/1QqKyyYR6Q21VydFLVH3TRQUabQu_ym0Zz7PgGX0-kHA/edit?usp=sharing"",""แผน!AE47"")"),3000)</f>
        <v>3000</v>
      </c>
      <c r="M199" s="893"/>
      <c r="N199" s="1096">
        <v>1560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IFERROR(__xludf.DUMMYFUNCTION("IMPORTRANGE(""https://docs.google.com/spreadsheets/d/1QqKyyYR6Q21VydFLVH3TRQUabQu_ym0Zz7PgGX0-kHA/edit?usp=sharing"",""แผน!AF47"")"),24000)</f>
        <v>24000</v>
      </c>
      <c r="M200" s="893"/>
      <c r="N200" s="1096">
        <v>35070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IFERROR(__xludf.DUMMYFUNCTION("IMPORTRANGE(""https://docs.google.com/spreadsheets/d/1QqKyyYR6Q21VydFLVH3TRQUabQu_ym0Zz7PgGX0-kHA/edit?usp=sharing"",""แผน!AG47"")"),12000)</f>
        <v>12000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IFERROR(__xludf.DUMMYFUNCTION("IMPORTRANGE(""https://docs.google.com/spreadsheets/d/1QqKyyYR6Q21VydFLVH3TRQUabQu_ym0Zz7PgGX0-kHA/edit?usp=sharing"",""แผน!AH47"")"),5000)</f>
        <v>5000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IFERROR(__xludf.DUMMYFUNCTION("IMPORTRANGE(""https://docs.google.com/spreadsheets/d/1QqKyyYR6Q21VydFLVH3TRQUabQu_ym0Zz7PgGX0-kHA/edit?usp=sharing"",""แผน!AI47"")"),3)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1</v>
      </c>
      <c r="J207" s="1024">
        <v>1</v>
      </c>
      <c r="K207" s="1010">
        <f>IF(I207&gt;0,J207*100/I207,0)</f>
        <v>100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ca="1">I215</f>
        <v>1</v>
      </c>
      <c r="J208" s="1089">
        <f>J215</f>
        <v>1</v>
      </c>
      <c r="K208" s="1090">
        <f ca="1">IF(I208&gt;0,J208*100/I208,0)</f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8470</v>
      </c>
      <c r="O209" s="1004">
        <f ca="1">IF(L209&gt;0,N209*100/L209,0)</f>
        <v>60.5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IFERROR(__xludf.DUMMYFUNCTION("IMPORTRANGE(""https://docs.google.com/spreadsheets/d/1QqKyyYR6Q21VydFLVH3TRQUabQu_ym0Zz7PgGX0-kHA/edit?usp=sharing"",""แผน!AK47"")"),1000)</f>
        <v>1000</v>
      </c>
      <c r="M210" s="893"/>
      <c r="N210" s="1096">
        <v>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IFERROR(__xludf.DUMMYFUNCTION("IMPORTRANGE(""https://docs.google.com/spreadsheets/d/1QqKyyYR6Q21VydFLVH3TRQUabQu_ym0Zz7PgGX0-kHA/edit?usp=sharing"",""แผน!AL47"")"),5000)</f>
        <v>5000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IFERROR(__xludf.DUMMYFUNCTION("IMPORTRANGE(""https://docs.google.com/spreadsheets/d/1QqKyyYR6Q21VydFLVH3TRQUabQu_ym0Zz7PgGX0-kHA/edit?usp=sharing"",""แผน!AM47"")"),8000)</f>
        <v>8000</v>
      </c>
      <c r="M212" s="893"/>
      <c r="N212" s="1096">
        <v>8470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IFERROR(__xludf.DUMMYFUNCTION("IMPORTRANGE(""https://docs.google.com/spreadsheets/d/1QqKyyYR6Q21VydFLVH3TRQUabQu_ym0Zz7PgGX0-kHA/edit?usp=sharing"",""แผน!AN47"")"),1)</f>
        <v>1</v>
      </c>
      <c r="J214" s="1024">
        <v>1</v>
      </c>
      <c r="K214" s="893">
        <f ca="1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IFERROR(__xludf.DUMMYFUNCTION("IMPORTRANGE(""https://docs.google.com/spreadsheets/d/1QqKyyYR6Q21VydFLVH3TRQUabQu_ym0Zz7PgGX0-kHA/edit?usp=sharing"",""แผน!AN47"")"),1)</f>
        <v>1</v>
      </c>
      <c r="J215" s="1024">
        <v>1</v>
      </c>
      <c r="K215" s="893">
        <f ca="1">IF(I215&gt;0,J215*100/I215,0)</f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ca="1">I224</f>
        <v>30000</v>
      </c>
      <c r="J216" s="1089">
        <f>J224</f>
        <v>0</v>
      </c>
      <c r="K216" s="1090">
        <f ca="1">IF(I216&gt;0,J216*100/I216,0)</f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13500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IFERROR(__xludf.DUMMYFUNCTION("IMPORTRANGE(""https://docs.google.com/spreadsheets/d/1QqKyyYR6Q21VydFLVH3TRQUabQu_ym0Zz7PgGX0-kHA/edit?usp=sharing"",""แผน!AP47"")"),5000)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IFERROR(__xludf.DUMMYFUNCTION("IMPORTRANGE(""https://docs.google.com/spreadsheets/d/1QqKyyYR6Q21VydFLVH3TRQUabQu_ym0Zz7PgGX0-kHA/edit?usp=sharing"",""แผน!AQ47"")"),8500)</f>
        <v>8500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IFERROR(__xludf.DUMMYFUNCTION("IMPORTRANGE(""https://docs.google.com/spreadsheets/d/1QqKyyYR6Q21VydFLVH3TRQUabQu_ym0Zz7PgGX0-kHA/edit?usp=sharing"",""แผน!AR47"")"),0)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IFERROR(__xludf.DUMMYFUNCTION("IMPORTRANGE(""https://docs.google.com/spreadsheets/d/1QqKyyYR6Q21VydFLVH3TRQUabQu_ym0Zz7PgGX0-kHA/edit?usp=sharing"",""แผน!AT47"")"),30000)</f>
        <v>30000</v>
      </c>
      <c r="J223" s="1024">
        <v>0</v>
      </c>
      <c r="K223" s="1010">
        <f ca="1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IFERROR(__xludf.DUMMYFUNCTION("IMPORTRANGE(""https://docs.google.com/spreadsheets/d/1QqKyyYR6Q21VydFLVH3TRQUabQu_ym0Zz7PgGX0-kHA/edit?usp=sharing"",""แผน!AT47"")"),30000)</f>
        <v>30000</v>
      </c>
      <c r="J224" s="1024">
        <v>0</v>
      </c>
      <c r="K224" s="1010">
        <f ca="1">IF(I224&gt;0,J224*100/I224,0)</f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IFERROR(__xludf.DUMMYFUNCTION("IMPORTRANGE(""https://docs.google.com/spreadsheets/d/1QqKyyYR6Q21VydFLVH3TRQUabQu_ym0Zz7PgGX0-kHA/edit?usp=sharing"",""แผน!AS47"")"),0)</f>
        <v>0</v>
      </c>
      <c r="J225" s="1024">
        <v>0</v>
      </c>
      <c r="K225" s="1010">
        <f ca="1">IF(I225&gt;0,J225*100/I225,0)</f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ca="1">I237+I248</f>
        <v>0</v>
      </c>
      <c r="J226" s="1105">
        <f>J237+J248</f>
        <v>0</v>
      </c>
      <c r="K226" s="1106">
        <f ca="1">IF(I226&gt;0,J226*100/I226,0)</f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ca="1">L238+L249</f>
        <v>0</v>
      </c>
      <c r="M227" s="1114"/>
      <c r="N227" s="1114">
        <f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ca="1">L239+L250</f>
        <v>0</v>
      </c>
      <c r="M228" s="899"/>
      <c r="N228" s="899">
        <f>N239+N250</f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ca="1">L240+L251</f>
        <v>0</v>
      </c>
      <c r="M229" s="899"/>
      <c r="N229" s="899">
        <f>N240+N251</f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ca="1">L241+L252</f>
        <v>0</v>
      </c>
      <c r="M230" s="899"/>
      <c r="N230" s="899">
        <f>N241+N252</f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ca="1">L242+L253</f>
        <v>0</v>
      </c>
      <c r="M231" s="899"/>
      <c r="N231" s="899">
        <f>N242+N253</f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ca="1">I244+I255</f>
        <v>0</v>
      </c>
      <c r="J233" s="898">
        <f>J244+J255</f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>I246+I257</f>
        <v>0</v>
      </c>
      <c r="J235" s="898">
        <f>J246+J257</f>
        <v>0</v>
      </c>
      <c r="K235" s="899">
        <f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>I247+I258</f>
        <v>0</v>
      </c>
      <c r="J236" s="898">
        <f>J247+J258</f>
        <v>0</v>
      </c>
      <c r="K236" s="899">
        <f>IF(I236&gt;0,J236*100/I236,0)</f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ca="1">I244</f>
        <v>0</v>
      </c>
      <c r="J237" s="1089">
        <f>J244</f>
        <v>0</v>
      </c>
      <c r="K237" s="1090">
        <f ca="1">IF(I237&gt;0,J237*100/I237,0)</f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IFERROR(__xludf.DUMMYFUNCTION("IMPORTRANGE(""https://docs.google.com/spreadsheets/d/1QqKyyYR6Q21VydFLVH3TRQUabQu_ym0Zz7PgGX0-kHA/edit?usp=sharing"",""แผน!AV47"")"),0)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IFERROR(__xludf.DUMMYFUNCTION("IMPORTRANGE(""https://docs.google.com/spreadsheets/d/1QqKyyYR6Q21VydFLVH3TRQUabQu_ym0Zz7PgGX0-kHA/edit?usp=sharing"",""แผน!AW47"")"),0)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IFERROR(__xludf.DUMMYFUNCTION("IMPORTRANGE(""https://docs.google.com/spreadsheets/d/1QqKyyYR6Q21VydFLVH3TRQUabQu_ym0Zz7PgGX0-kHA/edit?usp=sharing"",""แผน!AX47"")"),0)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IFERROR(__xludf.DUMMYFUNCTION("IMPORTRANGE(""https://docs.google.com/spreadsheets/d/1QqKyyYR6Q21VydFLVH3TRQUabQu_ym0Zz7PgGX0-kHA/edit?usp=sharing"",""แผน!AY47"")"),0)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IFERROR(__xludf.DUMMYFUNCTION("IMPORTRANGE(""https://docs.google.com/spreadsheets/d/1QqKyyYR6Q21VydFLVH3TRQUabQu_ym0Zz7PgGX0-kHA/edit?usp=sharing"",""แผน!BE47"")"),0)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>IF(I247&gt;0,J247*100/I247,0)</f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ca="1">I255</f>
        <v>0</v>
      </c>
      <c r="J248" s="1089">
        <f>J255</f>
        <v>0</v>
      </c>
      <c r="K248" s="1090">
        <f ca="1">IF(I248&gt;0,J248*100/I248,0)</f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IFERROR(__xludf.DUMMYFUNCTION("IMPORTRANGE(""https://docs.google.com/spreadsheets/d/1QqKyyYR6Q21VydFLVH3TRQUabQu_ym0Zz7PgGX0-kHA/edit?usp=sharing"",""แผน!AZ47"")"),0)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IFERROR(__xludf.DUMMYFUNCTION("IMPORTRANGE(""https://docs.google.com/spreadsheets/d/1QqKyyYR6Q21VydFLVH3TRQUabQu_ym0Zz7PgGX0-kHA/edit?usp=sharing"",""แผน!BA47"")"),0)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IFERROR(__xludf.DUMMYFUNCTION("IMPORTRANGE(""https://docs.google.com/spreadsheets/d/1QqKyyYR6Q21VydFLVH3TRQUabQu_ym0Zz7PgGX0-kHA/edit?usp=sharing"",""แผน!BB47"")"),0)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IFERROR(__xludf.DUMMYFUNCTION("IMPORTRANGE(""https://docs.google.com/spreadsheets/d/1QqKyyYR6Q21VydFLVH3TRQUabQu_ym0Zz7PgGX0-kHA/edit?usp=sharing"",""แผน!BC47"")"),0)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IFERROR(__xludf.DUMMYFUNCTION("IMPORTRANGE(""https://docs.google.com/spreadsheets/d/1QqKyyYR6Q21VydFLVH3TRQUabQu_ym0Zz7PgGX0-kHA/edit?usp=sharing"",""แผน!BF47"")"),0)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>IF(I258&gt;0,J258*100/I258,0)</f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ca="1">I271</f>
        <v>22</v>
      </c>
      <c r="J260" s="1073">
        <f>J271</f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ca="1">L262+L263</f>
        <v>26900</v>
      </c>
      <c r="M261" s="1004">
        <f ca="1">M262+M263</f>
        <v>23900</v>
      </c>
      <c r="N261" s="1004">
        <f ca="1">N262+N263</f>
        <v>23900</v>
      </c>
      <c r="O261" s="1004">
        <f ca="1">IF(L261&gt;0,N261*100/L261,0)</f>
        <v>88.847583643122675</v>
      </c>
      <c r="P261" s="1004">
        <f ca="1">IF(M261&gt;0,N261*100/M261,0)</f>
        <v>100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>L265+L268</f>
        <v>0</v>
      </c>
      <c r="M262" s="899">
        <f>M265+M268</f>
        <v>0</v>
      </c>
      <c r="N262" s="899">
        <f>N265+N268</f>
        <v>0</v>
      </c>
      <c r="O262" s="899">
        <f>IF(L262&gt;0,N262*100/L262,0)</f>
        <v>0</v>
      </c>
      <c r="P262" s="899">
        <f>IF(M262&gt;0,N262*100/M262,0)</f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ca="1">L266+L269</f>
        <v>26900</v>
      </c>
      <c r="M263" s="899">
        <f ca="1">M266+M269</f>
        <v>23900</v>
      </c>
      <c r="N263" s="899">
        <f ca="1">N266+N269</f>
        <v>23900</v>
      </c>
      <c r="O263" s="899">
        <f ca="1">IF(L263&gt;0,N263*100/L263,0)</f>
        <v>88.847583643122675</v>
      </c>
      <c r="P263" s="899">
        <f ca="1">IF(M263&gt;0,N263*100/M263,0)</f>
        <v>100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ca="1">L265+L266</f>
        <v>26900</v>
      </c>
      <c r="M264" s="893">
        <f ca="1">M265+M266</f>
        <v>23900</v>
      </c>
      <c r="N264" s="893">
        <f ca="1">N265+N266</f>
        <v>23900</v>
      </c>
      <c r="O264" s="893">
        <f ca="1">IF(L264&gt;0,N264*100/L264,0)</f>
        <v>88.847583643122675</v>
      </c>
      <c r="P264" s="893">
        <f ca="1">IF(M264&gt;0,N264*100/M264,0)</f>
        <v>100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>IF(L265&gt;0,N265*100/L265,0)</f>
        <v>0</v>
      </c>
      <c r="P265" s="899">
        <f>IF(M265&gt;0,N265*100/M265,0)</f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IFERROR(__xludf.DUMMYFUNCTION("IMPORTRANGE(""https://docs.google.com/spreadsheets/d/1MeEWN-I1oV_STSDYn1IFDPWt_1FKiwhDph83XaGc0o0/edit?usp=sharing"",""งบพรบ!CY47"")"),26900)</f>
        <v>26900</v>
      </c>
      <c r="M266" s="899">
        <f ca="1">IFERROR(__xludf.DUMMYFUNCTION("IMPORTRANGE(""https://docs.google.com/spreadsheets/d/1MeEWN-I1oV_STSDYn1IFDPWt_1FKiwhDph83XaGc0o0/edit?usp=sharing"",""งบพรบ!DD47"")"),23900)</f>
        <v>23900</v>
      </c>
      <c r="N266" s="899">
        <f ca="1">IFERROR(__xludf.DUMMYFUNCTION("IMPORTRANGE(""https://docs.google.com/spreadsheets/d/1MeEWN-I1oV_STSDYn1IFDPWt_1FKiwhDph83XaGc0o0/edit?usp=sharing"",""งบพรบ!DF47"")"),23900)</f>
        <v>23900</v>
      </c>
      <c r="O266" s="899">
        <f ca="1">IF(L266&gt;0,N266*100/L266,0)</f>
        <v>88.847583643122675</v>
      </c>
      <c r="P266" s="899">
        <f ca="1">IF(M266&gt;0,N266*100/M266,0)</f>
        <v>100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ca="1">L268+L269</f>
        <v>0</v>
      </c>
      <c r="M267" s="893">
        <f ca="1">M268+M269</f>
        <v>0</v>
      </c>
      <c r="N267" s="893">
        <f ca="1">N268+N269</f>
        <v>0</v>
      </c>
      <c r="O267" s="893">
        <f ca="1">IF(L267&gt;0,N267*100/L267,0)</f>
        <v>0</v>
      </c>
      <c r="P267" s="893">
        <f ca="1">IF(M267&gt;0,N267*100/M267,0)</f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>IF(L268&gt;0,N268*100/L268,0)</f>
        <v>0</v>
      </c>
      <c r="P268" s="899">
        <f>IF(M268&gt;0,N268*100/M268,0)</f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IFERROR(__xludf.DUMMYFUNCTION("IMPORTRANGE(""https://docs.google.com/spreadsheets/d/1MeEWN-I1oV_STSDYn1IFDPWt_1FKiwhDph83XaGc0o0/edit?usp=sharing"",""งบพรบ!DB47"")"),0)</f>
        <v>0</v>
      </c>
      <c r="M269" s="899">
        <f ca="1">IFERROR(__xludf.DUMMYFUNCTION("IMPORTRANGE(""https://docs.google.com/spreadsheets/d/1MeEWN-I1oV_STSDYn1IFDPWt_1FKiwhDph83XaGc0o0/edit?usp=sharing"",""งบพรบ!DE47"")"),0)</f>
        <v>0</v>
      </c>
      <c r="N269" s="899">
        <f ca="1">IFERROR(__xludf.DUMMYFUNCTION("IMPORTRANGE(""https://docs.google.com/spreadsheets/d/1MeEWN-I1oV_STSDYn1IFDPWt_1FKiwhDph83XaGc0o0/edit?usp=sharing"",""งบพรบ!DG47"")"),0)</f>
        <v>0</v>
      </c>
      <c r="O269" s="899">
        <f ca="1">IF(L269&gt;0,N269*100/L269,0)</f>
        <v>0</v>
      </c>
      <c r="P269" s="899">
        <f ca="1">IF(M269&gt;0,N269*100/M269,0)</f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IFERROR(__xludf.DUMMYFUNCTION("IMPORTRANGE(""https://docs.google.com/spreadsheets/d/1QqKyyYR6Q21VydFLVH3TRQUabQu_ym0Zz7PgGX0-kHA/edit?usp=sharing"",""แผน!EA47"")"),22)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ca="1">I288</f>
        <v>5</v>
      </c>
      <c r="J275" s="1170">
        <f ca="1">J288</f>
        <v>0</v>
      </c>
      <c r="K275" s="1171">
        <f ca="1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ca="1">I287</f>
        <v>50</v>
      </c>
      <c r="J276" s="1173">
        <f>J287</f>
        <v>50</v>
      </c>
      <c r="K276" s="1172">
        <f ca="1">IF(I276&gt;0,J276*100/I276,0)</f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ca="1">L278+L279</f>
        <v>22630</v>
      </c>
      <c r="M277" s="1004">
        <f ca="1">M278+M279</f>
        <v>13100</v>
      </c>
      <c r="N277" s="1004">
        <f ca="1">N278+N279</f>
        <v>9775</v>
      </c>
      <c r="O277" s="1004">
        <f ca="1">IF(L277&gt;0,N277*100/L277,0)</f>
        <v>43.194874060981</v>
      </c>
      <c r="P277" s="1004">
        <f ca="1">IF(M277&gt;0,N277*100/M277,0)</f>
        <v>74.618320610687022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>L281+L284</f>
        <v>0</v>
      </c>
      <c r="M278" s="899">
        <f>M281+M284</f>
        <v>0</v>
      </c>
      <c r="N278" s="899">
        <f>N281+N284</f>
        <v>0</v>
      </c>
      <c r="O278" s="899">
        <f>IF(L278&gt;0,N278*100/L278,0)</f>
        <v>0</v>
      </c>
      <c r="P278" s="899">
        <f>IF(M278&gt;0,N278*100/M278,0)</f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ca="1">L282+L285</f>
        <v>22630</v>
      </c>
      <c r="M279" s="899">
        <f ca="1">M282+M285</f>
        <v>13100</v>
      </c>
      <c r="N279" s="899">
        <f ca="1">N282+N285</f>
        <v>9775</v>
      </c>
      <c r="O279" s="899">
        <f ca="1">IF(L279&gt;0,N279*100/L279,0)</f>
        <v>43.194874060981</v>
      </c>
      <c r="P279" s="899">
        <f ca="1">IF(M279&gt;0,N279*100/M279,0)</f>
        <v>74.618320610687022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ca="1">L281+L282</f>
        <v>22630</v>
      </c>
      <c r="M280" s="893">
        <f ca="1">M281+M282</f>
        <v>13100</v>
      </c>
      <c r="N280" s="893">
        <f ca="1">N281+N282</f>
        <v>9775</v>
      </c>
      <c r="O280" s="893">
        <f ca="1">IF(L280&gt;0,N280*100/L280,0)</f>
        <v>43.194874060981</v>
      </c>
      <c r="P280" s="893">
        <f ca="1">IF(M280&gt;0,N280*100/M280,0)</f>
        <v>74.618320610687022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>IF(L281&gt;0,N281*100/L281,0)</f>
        <v>0</v>
      </c>
      <c r="P281" s="899">
        <f>IF(M281&gt;0,N281*100/M281,0)</f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IFERROR(__xludf.DUMMYFUNCTION("IMPORTRANGE(""https://docs.google.com/spreadsheets/d/1MeEWN-I1oV_STSDYn1IFDPWt_1FKiwhDph83XaGc0o0/edit?usp=sharing"",""งบพรบ!DI47"")"),22630)</f>
        <v>22630</v>
      </c>
      <c r="M282" s="899">
        <f ca="1">IFERROR(__xludf.DUMMYFUNCTION("IMPORTRANGE(""https://docs.google.com/spreadsheets/d/1MeEWN-I1oV_STSDYn1IFDPWt_1FKiwhDph83XaGc0o0/edit?usp=sharing"",""งบพรบ!DN47"")"),13100)</f>
        <v>13100</v>
      </c>
      <c r="N282" s="899">
        <f ca="1">IFERROR(__xludf.DUMMYFUNCTION("IMPORTRANGE(""https://docs.google.com/spreadsheets/d/1MeEWN-I1oV_STSDYn1IFDPWt_1FKiwhDph83XaGc0o0/edit?usp=sharing"",""งบพรบ!DP47"")"),9775)</f>
        <v>9775</v>
      </c>
      <c r="O282" s="899">
        <f ca="1">IF(L282&gt;0,N282*100/L282,0)</f>
        <v>43.194874060981</v>
      </c>
      <c r="P282" s="899">
        <f ca="1">IF(M282&gt;0,N282*100/M282,0)</f>
        <v>74.618320610687022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ca="1">L284+L285</f>
        <v>0</v>
      </c>
      <c r="M283" s="893">
        <f ca="1">M284+M285</f>
        <v>0</v>
      </c>
      <c r="N283" s="893">
        <f ca="1">N284+N285</f>
        <v>0</v>
      </c>
      <c r="O283" s="893">
        <f ca="1">IF(L283&gt;0,N283*100/L283,0)</f>
        <v>0</v>
      </c>
      <c r="P283" s="893">
        <f ca="1">IF(M283&gt;0,N283*100/M283,0)</f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>IF(L284&gt;0,N284*100/L284,0)</f>
        <v>0</v>
      </c>
      <c r="P284" s="899">
        <f>IF(M284&gt;0,N284*100/M284,0)</f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IFERROR(__xludf.DUMMYFUNCTION("IMPORTRANGE(""https://docs.google.com/spreadsheets/d/1MeEWN-I1oV_STSDYn1IFDPWt_1FKiwhDph83XaGc0o0/edit?usp=sharing"",""งบพรบ!DL47"")"),0)</f>
        <v>0</v>
      </c>
      <c r="M285" s="899">
        <f ca="1">IFERROR(__xludf.DUMMYFUNCTION("IMPORTRANGE(""https://docs.google.com/spreadsheets/d/1MeEWN-I1oV_STSDYn1IFDPWt_1FKiwhDph83XaGc0o0/edit?usp=sharing"",""งบพรบ!DO47"")"),0)</f>
        <v>0</v>
      </c>
      <c r="N285" s="899">
        <f ca="1">IFERROR(__xludf.DUMMYFUNCTION("IMPORTRANGE(""https://docs.google.com/spreadsheets/d/1MeEWN-I1oV_STSDYn1IFDPWt_1FKiwhDph83XaGc0o0/edit?usp=sharing"",""งบพรบ!DQ47"")"),0)</f>
        <v>0</v>
      </c>
      <c r="O285" s="899">
        <f ca="1">IF(L285&gt;0,N285*100/L285,0)</f>
        <v>0</v>
      </c>
      <c r="P285" s="899">
        <f ca="1">IF(M285&gt;0,N285*100/M285,0)</f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IFERROR(__xludf.DUMMYFUNCTION("IMPORTRANGE(""https://docs.google.com/spreadsheets/d/1QqKyyYR6Q21VydFLVH3TRQUabQu_ym0Zz7PgGX0-kHA/edit?usp=sharing"",""แผน!EC47"")"),50)</f>
        <v>50</v>
      </c>
      <c r="J287" s="1024">
        <v>50</v>
      </c>
      <c r="K287" s="1010">
        <f ca="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IFERROR(__xludf.DUMMYFUNCTION("IMPORTRANGE(""https://docs.google.com/spreadsheets/d/1QqKyyYR6Q21VydFLVH3TRQUabQu_ym0Zz7PgGX0-kHA/edit?usp=sharing"",""แผน!EB47"")"),5)</f>
        <v>5</v>
      </c>
      <c r="J288" s="1031">
        <f ca="1">IF(AND(J291&gt;=I288,J294&gt;=I288),J294,0)</f>
        <v>0</v>
      </c>
      <c r="K288" s="1174">
        <f ca="1">IF(I288&gt;0,J288*100/I288,0)</f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IFERROR(__xludf.DUMMYFUNCTION("IMPORTRANGE(""https://docs.google.com/spreadsheets/d/1QqKyyYR6Q21VydFLVH3TRQUabQu_ym0Zz7PgGX0-kHA/edit?usp=sharing"",""แผน!EB47"")"),5)</f>
        <v>5</v>
      </c>
      <c r="J290" s="1024">
        <v>5</v>
      </c>
      <c r="K290" s="1010">
        <f ca="1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IFERROR(__xludf.DUMMYFUNCTION("IMPORTRANGE(""https://docs.google.com/spreadsheets/d/1QqKyyYR6Q21VydFLVH3TRQUabQu_ym0Zz7PgGX0-kHA/edit?usp=sharing"",""แผน!EB47"")"),5)</f>
        <v>5</v>
      </c>
      <c r="J291" s="1024">
        <v>5</v>
      </c>
      <c r="K291" s="1010">
        <f ca="1">IF(I291&gt;0,J291*100/I291,0)</f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IFERROR(__xludf.DUMMYFUNCTION("IMPORTRANGE(""https://docs.google.com/spreadsheets/d/1QqKyyYR6Q21VydFLVH3TRQUabQu_ym0Zz7PgGX0-kHA/edit?usp=sharing"",""แผน!EB47"")"),5)</f>
        <v>5</v>
      </c>
      <c r="J293" s="1024">
        <v>0</v>
      </c>
      <c r="K293" s="1010">
        <f ca="1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IFERROR(__xludf.DUMMYFUNCTION("IMPORTRANGE(""https://docs.google.com/spreadsheets/d/1QqKyyYR6Q21VydFLVH3TRQUabQu_ym0Zz7PgGX0-kHA/edit?usp=sharing"",""แผน!EB47"")"),5)</f>
        <v>5</v>
      </c>
      <c r="J294" s="1183">
        <v>0</v>
      </c>
      <c r="K294" s="1150">
        <f ca="1">IF(I294&gt;0,J294*100/I294,0)</f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ca="1">I309</f>
        <v>0</v>
      </c>
      <c r="J297" s="1202">
        <f>J309</f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ca="1">L299+L300</f>
        <v>0</v>
      </c>
      <c r="M298" s="1004">
        <f ca="1">M299+M300</f>
        <v>0</v>
      </c>
      <c r="N298" s="1004">
        <f ca="1">N299+N300</f>
        <v>0</v>
      </c>
      <c r="O298" s="1004">
        <f ca="1">IF(L298&gt;0,N298*100/L298,0)</f>
        <v>0</v>
      </c>
      <c r="P298" s="1004">
        <f ca="1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>L302+L305</f>
        <v>0</v>
      </c>
      <c r="M299" s="899">
        <f>M302+M305</f>
        <v>0</v>
      </c>
      <c r="N299" s="899">
        <f>N302+N305</f>
        <v>0</v>
      </c>
      <c r="O299" s="899">
        <f>IF(L299&gt;0,N299*100/L299,0)</f>
        <v>0</v>
      </c>
      <c r="P299" s="899">
        <f>IF(M299&gt;0,N299*100/M299,0)</f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ca="1">L303+L306</f>
        <v>0</v>
      </c>
      <c r="M300" s="899">
        <f ca="1">M303+M306</f>
        <v>0</v>
      </c>
      <c r="N300" s="899">
        <f ca="1">N303+N306</f>
        <v>0</v>
      </c>
      <c r="O300" s="899">
        <f ca="1">IF(L300&gt;0,N300*100/L300,0)</f>
        <v>0</v>
      </c>
      <c r="P300" s="899">
        <f ca="1">IF(M300&gt;0,N300*100/M300,0)</f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ca="1">L302+L303</f>
        <v>0</v>
      </c>
      <c r="M301" s="893">
        <f ca="1">M302+M303</f>
        <v>0</v>
      </c>
      <c r="N301" s="893">
        <f ca="1">N302+N303</f>
        <v>0</v>
      </c>
      <c r="O301" s="893">
        <f ca="1">IF(L301&gt;0,N301*100/L301,0)</f>
        <v>0</v>
      </c>
      <c r="P301" s="893">
        <f ca="1">IF(M301&gt;0,N301*100/M301,0)</f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>IF(L302&gt;0,N302*100/L302,0)</f>
        <v>0</v>
      </c>
      <c r="P302" s="899">
        <f>IF(M302&gt;0,N302*100/M302,0)</f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IFERROR(__xludf.DUMMYFUNCTION("IMPORTRANGE(""https://docs.google.com/spreadsheets/d/1MeEWN-I1oV_STSDYn1IFDPWt_1FKiwhDph83XaGc0o0/edit?usp=sharing"",""งบพรบ!DS47"")"),0)</f>
        <v>0</v>
      </c>
      <c r="M303" s="899">
        <f ca="1">IFERROR(__xludf.DUMMYFUNCTION("IMPORTRANGE(""https://docs.google.com/spreadsheets/d/1MeEWN-I1oV_STSDYn1IFDPWt_1FKiwhDph83XaGc0o0/edit?usp=sharing"",""งบพรบ!DX47"")"),0)</f>
        <v>0</v>
      </c>
      <c r="N303" s="899">
        <f ca="1">IFERROR(__xludf.DUMMYFUNCTION("IMPORTRANGE(""https://docs.google.com/spreadsheets/d/1MeEWN-I1oV_STSDYn1IFDPWt_1FKiwhDph83XaGc0o0/edit?usp=sharing"",""งบพรบ!DZ47"")"),0)</f>
        <v>0</v>
      </c>
      <c r="O303" s="899">
        <f ca="1">IF(L303&gt;0,N303*100/L303,0)</f>
        <v>0</v>
      </c>
      <c r="P303" s="899">
        <f ca="1">IF(M303&gt;0,N303*100/M303,0)</f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ca="1">L305+L306</f>
        <v>0</v>
      </c>
      <c r="M304" s="893">
        <f ca="1">M305+M306</f>
        <v>0</v>
      </c>
      <c r="N304" s="893">
        <f ca="1">N305+N306</f>
        <v>0</v>
      </c>
      <c r="O304" s="893">
        <f ca="1">IF(L304&gt;0,N304*100/L304,0)</f>
        <v>0</v>
      </c>
      <c r="P304" s="893">
        <f ca="1">IF(M304&gt;0,N304*100/M304,0)</f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>IF(L305&gt;0,N305*100/L305,0)</f>
        <v>0</v>
      </c>
      <c r="P305" s="899">
        <f>IF(M305&gt;0,N305*100/M305,0)</f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IFERROR(__xludf.DUMMYFUNCTION("IMPORTRANGE(""https://docs.google.com/spreadsheets/d/1MeEWN-I1oV_STSDYn1IFDPWt_1FKiwhDph83XaGc0o0/edit?usp=sharing"",""งบพรบ!DV47"")"),0)</f>
        <v>0</v>
      </c>
      <c r="M306" s="899">
        <f ca="1">IFERROR(__xludf.DUMMYFUNCTION("IMPORTRANGE(""https://docs.google.com/spreadsheets/d/1MeEWN-I1oV_STSDYn1IFDPWt_1FKiwhDph83XaGc0o0/edit?usp=sharing"",""งบพรบ!DY47"")"),0)</f>
        <v>0</v>
      </c>
      <c r="N306" s="899">
        <f ca="1">IFERROR(__xludf.DUMMYFUNCTION("IMPORTRANGE(""https://docs.google.com/spreadsheets/d/1MeEWN-I1oV_STSDYn1IFDPWt_1FKiwhDph83XaGc0o0/edit?usp=sharing"",""งบพรบ!EA47"")"),0)</f>
        <v>0</v>
      </c>
      <c r="O306" s="899">
        <f ca="1">IF(L306&gt;0,N306*100/L306,0)</f>
        <v>0</v>
      </c>
      <c r="P306" s="899">
        <f ca="1">IF(M306&gt;0,N306*100/M306,0)</f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IFERROR(__xludf.DUMMYFUNCTION("IMPORTRANGE(""https://docs.google.com/spreadsheets/d/1QqKyyYR6Q21VydFLVH3TRQUabQu_ym0Zz7PgGX0-kHA/edit?usp=sharing"",""แผน!ED47"")"),0)</f>
        <v>0</v>
      </c>
      <c r="J309" s="1024">
        <v>0</v>
      </c>
      <c r="K309" s="893">
        <f ca="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IFERROR(__xludf.DUMMYFUNCTION("IMPORTRANGE(""https://docs.google.com/spreadsheets/d/1QqKyyYR6Q21VydFLVH3TRQUabQu_ym0Zz7PgGX0-kHA/edit?usp=sharing"",""แผน!ED47"")"),0)</f>
        <v>0</v>
      </c>
      <c r="J310" s="1024">
        <v>0</v>
      </c>
      <c r="K310" s="893">
        <f ca="1">IF(I310&gt;0,J310*100/I310,0)</f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IFERROR(__xludf.DUMMYFUNCTION("IMPORTRANGE(""https://docs.google.com/spreadsheets/d/1QqKyyYR6Q21VydFLVH3TRQUabQu_ym0Zz7PgGX0-kHA/edit?usp=sharing"",""แผน!ED47"")"),0)</f>
        <v>0</v>
      </c>
      <c r="J311" s="1024">
        <v>0</v>
      </c>
      <c r="K311" s="893">
        <f ca="1">IF(I311&gt;0,J311*100/I311,0)</f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IFERROR(__xludf.DUMMYFUNCTION("IMPORTRANGE(""https://docs.google.com/spreadsheets/d/1QqKyyYR6Q21VydFLVH3TRQUabQu_ym0Zz7PgGX0-kHA/edit?usp=sharing"",""แผน!EE47"")"),0)</f>
        <v>0</v>
      </c>
      <c r="J312" s="1024">
        <v>0</v>
      </c>
      <c r="K312" s="893">
        <f ca="1">IF(I312&gt;0,J312*100/I312,0)</f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ca="1">I325</f>
        <v>0</v>
      </c>
      <c r="J314" s="1202">
        <f>J325</f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ca="1">L316+L317</f>
        <v>0</v>
      </c>
      <c r="M315" s="1004">
        <f ca="1">M316+M317</f>
        <v>0</v>
      </c>
      <c r="N315" s="1004">
        <f ca="1">N316+N317</f>
        <v>0</v>
      </c>
      <c r="O315" s="1004">
        <f ca="1">IF(L315&gt;0,N315*100/L315,0)</f>
        <v>0</v>
      </c>
      <c r="P315" s="1004">
        <f ca="1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>L319+L322</f>
        <v>0</v>
      </c>
      <c r="M316" s="899">
        <f>M319+M322</f>
        <v>0</v>
      </c>
      <c r="N316" s="899">
        <f>N319+N322</f>
        <v>0</v>
      </c>
      <c r="O316" s="899">
        <f>IF(L316&gt;0,N316*100/L316,0)</f>
        <v>0</v>
      </c>
      <c r="P316" s="899">
        <f>IF(M316&gt;0,N316*100/M316,0)</f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ca="1">L320+L323</f>
        <v>0</v>
      </c>
      <c r="M317" s="899">
        <f ca="1">M320+M323</f>
        <v>0</v>
      </c>
      <c r="N317" s="899">
        <f ca="1">N320+N323</f>
        <v>0</v>
      </c>
      <c r="O317" s="899">
        <f ca="1">IF(L317&gt;0,N317*100/L317,0)</f>
        <v>0</v>
      </c>
      <c r="P317" s="899">
        <f ca="1">IF(M317&gt;0,N317*100/M317,0)</f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ca="1">L319+L320</f>
        <v>0</v>
      </c>
      <c r="M318" s="893">
        <f ca="1">M319+M320</f>
        <v>0</v>
      </c>
      <c r="N318" s="893">
        <f ca="1">N319+N320</f>
        <v>0</v>
      </c>
      <c r="O318" s="893">
        <f ca="1">IF(L318&gt;0,N318*100/L318,0)</f>
        <v>0</v>
      </c>
      <c r="P318" s="893">
        <f ca="1">IF(M318&gt;0,N318*100/M318,0)</f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>IF(L319&gt;0,N319*100/L319,0)</f>
        <v>0</v>
      </c>
      <c r="P319" s="899">
        <f>IF(M319&gt;0,N319*100/M319,0)</f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IFERROR(__xludf.DUMMYFUNCTION("IMPORTRANGE(""https://docs.google.com/spreadsheets/d/1MeEWN-I1oV_STSDYn1IFDPWt_1FKiwhDph83XaGc0o0/edit?usp=sharing"",""งบพรบ!EC47"")"),0)</f>
        <v>0</v>
      </c>
      <c r="M320" s="899">
        <f ca="1">IFERROR(__xludf.DUMMYFUNCTION("IMPORTRANGE(""https://docs.google.com/spreadsheets/d/1MeEWN-I1oV_STSDYn1IFDPWt_1FKiwhDph83XaGc0o0/edit?usp=sharing"",""งบพรบ!EH47"")"),0)</f>
        <v>0</v>
      </c>
      <c r="N320" s="899">
        <f ca="1">IFERROR(__xludf.DUMMYFUNCTION("IMPORTRANGE(""https://docs.google.com/spreadsheets/d/1MeEWN-I1oV_STSDYn1IFDPWt_1FKiwhDph83XaGc0o0/edit?usp=sharing"",""งบพรบ!EJ47"")"),0)</f>
        <v>0</v>
      </c>
      <c r="O320" s="899">
        <f ca="1">IF(L320&gt;0,N320*100/L320,0)</f>
        <v>0</v>
      </c>
      <c r="P320" s="899">
        <f ca="1">IF(M320&gt;0,N320*100/M320,0)</f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ca="1">L322+L323</f>
        <v>0</v>
      </c>
      <c r="M321" s="893">
        <f ca="1">M322+M323</f>
        <v>0</v>
      </c>
      <c r="N321" s="893">
        <f ca="1">N322+N323</f>
        <v>0</v>
      </c>
      <c r="O321" s="893">
        <f ca="1">IF(L321&gt;0,N321*100/L321,0)</f>
        <v>0</v>
      </c>
      <c r="P321" s="893">
        <f ca="1">IF(M321&gt;0,N321*100/M321,0)</f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>IF(L322&gt;0,N322*100/L322,0)</f>
        <v>0</v>
      </c>
      <c r="P322" s="899">
        <f>IF(M322&gt;0,N322*100/M322,0)</f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IFERROR(__xludf.DUMMYFUNCTION("IMPORTRANGE(""https://docs.google.com/spreadsheets/d/1MeEWN-I1oV_STSDYn1IFDPWt_1FKiwhDph83XaGc0o0/edit?usp=sharing"",""งบพรบ!EF47"")"),0)</f>
        <v>0</v>
      </c>
      <c r="M323" s="899">
        <f ca="1">IFERROR(__xludf.DUMMYFUNCTION("IMPORTRANGE(""https://docs.google.com/spreadsheets/d/1MeEWN-I1oV_STSDYn1IFDPWt_1FKiwhDph83XaGc0o0/edit?usp=sharing"",""งบพรบ!EI47"")"),0)</f>
        <v>0</v>
      </c>
      <c r="N323" s="899">
        <f ca="1">IFERROR(__xludf.DUMMYFUNCTION("IMPORTRANGE(""https://docs.google.com/spreadsheets/d/1MeEWN-I1oV_STSDYn1IFDPWt_1FKiwhDph83XaGc0o0/edit?usp=sharing"",""งบพรบ!EK47"")"),0)</f>
        <v>0</v>
      </c>
      <c r="O323" s="899">
        <f ca="1">IF(L323&gt;0,N323*100/L323,0)</f>
        <v>0</v>
      </c>
      <c r="P323" s="899">
        <f ca="1">IF(M323&gt;0,N323*100/M323,0)</f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IFERROR(__xludf.DUMMYFUNCTION("IMPORTRANGE(""https://docs.google.com/spreadsheets/d/1QqKyyYR6Q21VydFLVH3TRQUabQu_ym0Zz7PgGX0-kHA/edit?usp=sharing"",""แผน!EF47"")"),0)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IFERROR(__xludf.DUMMYFUNCTION("IMPORTRANGE(""https://docs.google.com/spreadsheets/d/1QqKyyYR6Q21VydFLVH3TRQUabQu_ym0Zz7PgGX0-kHA/edit?usp=sharing"",""แผน!EG47"")"),3800)</f>
        <v>3800</v>
      </c>
      <c r="J327" s="1202">
        <f ca="1">J338+J341+J342+J343</f>
        <v>3666</v>
      </c>
      <c r="K327" s="1203">
        <f ca="1">IF(I327&gt;0,J327*100/I327,0)</f>
        <v>96.473684210526315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ca="1">L329+L330</f>
        <v>177000</v>
      </c>
      <c r="M328" s="1004">
        <f ca="1">M329+M330</f>
        <v>135250</v>
      </c>
      <c r="N328" s="1004">
        <f ca="1">N329+N330</f>
        <v>95445</v>
      </c>
      <c r="O328" s="1004">
        <f ca="1">IF(L328&gt;0,N328*100/L328,0)</f>
        <v>53.923728813559322</v>
      </c>
      <c r="P328" s="1004">
        <f ca="1">IF(M328&gt;0,N328*100/M328,0)</f>
        <v>70.569316081330868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>L332+L335</f>
        <v>0</v>
      </c>
      <c r="M329" s="899">
        <f>M332+M335</f>
        <v>0</v>
      </c>
      <c r="N329" s="899">
        <f>N332+N335</f>
        <v>0</v>
      </c>
      <c r="O329" s="899">
        <f>IF(L329&gt;0,N329*100/L329,0)</f>
        <v>0</v>
      </c>
      <c r="P329" s="899">
        <f>IF(M329&gt;0,N329*100/M329,0)</f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ca="1">L333+L336</f>
        <v>177000</v>
      </c>
      <c r="M330" s="899">
        <f ca="1">M333+M336</f>
        <v>135250</v>
      </c>
      <c r="N330" s="899">
        <f ca="1">N333+N336</f>
        <v>95445</v>
      </c>
      <c r="O330" s="899">
        <f ca="1">IF(L330&gt;0,N330*100/L330,0)</f>
        <v>53.923728813559322</v>
      </c>
      <c r="P330" s="899">
        <f ca="1">IF(M330&gt;0,N330*100/M330,0)</f>
        <v>70.569316081330868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ca="1">L332+L333</f>
        <v>177000</v>
      </c>
      <c r="M331" s="893">
        <f ca="1">M332+M333</f>
        <v>135250</v>
      </c>
      <c r="N331" s="893">
        <f ca="1">N332+N333</f>
        <v>95445</v>
      </c>
      <c r="O331" s="893">
        <f ca="1">IF(L331&gt;0,N331*100/L331,0)</f>
        <v>53.923728813559322</v>
      </c>
      <c r="P331" s="893">
        <f ca="1">IF(M331&gt;0,N331*100/M331,0)</f>
        <v>70.569316081330868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>IF(L332&gt;0,N332*100/L332,0)</f>
        <v>0</v>
      </c>
      <c r="P332" s="899">
        <f>IF(M332&gt;0,N332*100/M332,0)</f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IFERROR(__xludf.DUMMYFUNCTION("IMPORTRANGE(""https://docs.google.com/spreadsheets/d/1MeEWN-I1oV_STSDYn1IFDPWt_1FKiwhDph83XaGc0o0/edit?usp=sharing"",""งบพรบ!EM47"")"),177000)</f>
        <v>177000</v>
      </c>
      <c r="M333" s="899">
        <f ca="1">IFERROR(__xludf.DUMMYFUNCTION("IMPORTRANGE(""https://docs.google.com/spreadsheets/d/1MeEWN-I1oV_STSDYn1IFDPWt_1FKiwhDph83XaGc0o0/edit?usp=sharing"",""งบพรบ!ER47"")"),135250)</f>
        <v>135250</v>
      </c>
      <c r="N333" s="899">
        <f ca="1">IFERROR(__xludf.DUMMYFUNCTION("IMPORTRANGE(""https://docs.google.com/spreadsheets/d/1MeEWN-I1oV_STSDYn1IFDPWt_1FKiwhDph83XaGc0o0/edit?usp=sharing"",""งบพรบ!ET47"")"),95445)</f>
        <v>95445</v>
      </c>
      <c r="O333" s="899">
        <f ca="1">IF(L333&gt;0,N333*100/L333,0)</f>
        <v>53.923728813559322</v>
      </c>
      <c r="P333" s="899">
        <f ca="1">IF(M333&gt;0,N333*100/M333,0)</f>
        <v>70.569316081330868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ca="1">L335+L336</f>
        <v>0</v>
      </c>
      <c r="M334" s="893">
        <f ca="1">M335+M336</f>
        <v>0</v>
      </c>
      <c r="N334" s="893">
        <f ca="1">N335+N336</f>
        <v>0</v>
      </c>
      <c r="O334" s="893">
        <f ca="1">IF(L334&gt;0,N334*100/L334,0)</f>
        <v>0</v>
      </c>
      <c r="P334" s="893">
        <f ca="1">IF(M334&gt;0,N334*100/M334,0)</f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>IF(L335&gt;0,N335*100/L335,0)</f>
        <v>0</v>
      </c>
      <c r="P335" s="899">
        <f>IF(M335&gt;0,N335*100/M335,0)</f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IFERROR(__xludf.DUMMYFUNCTION("IMPORTRANGE(""https://docs.google.com/spreadsheets/d/1MeEWN-I1oV_STSDYn1IFDPWt_1FKiwhDph83XaGc0o0/edit?usp=sharing"",""งบพรบ!EP47"")"),0)</f>
        <v>0</v>
      </c>
      <c r="M336" s="899">
        <f ca="1">IFERROR(__xludf.DUMMYFUNCTION("IMPORTRANGE(""https://docs.google.com/spreadsheets/d/1MeEWN-I1oV_STSDYn1IFDPWt_1FKiwhDph83XaGc0o0/edit?usp=sharing"",""งบพรบ!ES47"")"),0)</f>
        <v>0</v>
      </c>
      <c r="N336" s="899">
        <f ca="1">IFERROR(__xludf.DUMMYFUNCTION("IMPORTRANGE(""https://docs.google.com/spreadsheets/d/1MeEWN-I1oV_STSDYn1IFDPWt_1FKiwhDph83XaGc0o0/edit?usp=sharing"",""งบพรบ!EU47"")"),0)</f>
        <v>0</v>
      </c>
      <c r="O336" s="899">
        <f ca="1">IF(L336&gt;0,N336*100/L336,0)</f>
        <v>0</v>
      </c>
      <c r="P336" s="899">
        <f ca="1">IF(M336&gt;0,N336*100/M336,0)</f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IFERROR(__xludf.DUMMYFUNCTION("IMPORTRANGE(""https://docs.google.com/spreadsheets/d/1QqKyyYR6Q21VydFLVH3TRQUabQu_ym0Zz7PgGX0-kHA/edit?usp=sharing"",""แผน!EG47"")"),3800)</f>
        <v>3800</v>
      </c>
      <c r="J338" s="892">
        <f ca="1">IFERROR(__xludf.DUMMYFUNCTION("IMPORTRANGE(""https://docs.google.com/spreadsheets/d/1kVcqe37tkHyjCSG3S0O1AXqVkqjo8mSIZil3BcpIysc/edit?usp=sharing"",""ศูนย์!D47"")"),2836)</f>
        <v>2836</v>
      </c>
      <c r="K338" s="893">
        <f ca="1">IF(I338&gt;0,J338*100/I338,0)</f>
        <v>74.631578947368425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IFERROR(__xludf.DUMMYFUNCTION("IMPORTRANGE(""https://docs.google.com/spreadsheets/d/1QqKyyYR6Q21VydFLVH3TRQUabQu_ym0Zz7PgGX0-kHA/edit?usp=sharing"",""แผน!EH47"")"),7)</f>
        <v>7</v>
      </c>
      <c r="J340" s="892">
        <f ca="1">IFERROR(__xludf.DUMMYFUNCTION("IMPORTRANGE(""https://docs.google.com/spreadsheets/d/1kVcqe37tkHyjCSG3S0O1AXqVkqjo8mSIZil3BcpIysc/edit?usp=sharing"",""ศูนย์!E47"")"),7)</f>
        <v>7</v>
      </c>
      <c r="K340" s="893">
        <f ca="1">IF(I340&gt;0,J340*100/I340,0)</f>
        <v>100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IFERROR(__xludf.DUMMYFUNCTION("IMPORTRANGE(""https://docs.google.com/spreadsheets/d/1kVcqe37tkHyjCSG3S0O1AXqVkqjo8mSIZil3BcpIysc/edit?usp=sharing"",""ศูนย์!F47"")"),830)</f>
        <v>830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IFERROR(__xludf.DUMMYFUNCTION("IMPORTRANGE(""https://docs.google.com/spreadsheets/d/1kVcqe37tkHyjCSG3S0O1AXqVkqjo8mSIZil3BcpIysc/edit?usp=sharing"",""ศูนย์!G47"")"),0)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IFERROR(__xludf.DUMMYFUNCTION("IMPORTRANGE(""https://docs.google.com/spreadsheets/d/1kVcqe37tkHyjCSG3S0O1AXqVkqjo8mSIZil3BcpIysc/edit?usp=sharing"",""ศูนย์!H47"")"),0)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ca="1">L346+L347</f>
        <v>1192260</v>
      </c>
      <c r="M345" s="1004">
        <f ca="1">M346+M347</f>
        <v>884725</v>
      </c>
      <c r="N345" s="1004">
        <f ca="1">N346+N347</f>
        <v>605341.94999999995</v>
      </c>
      <c r="O345" s="1004">
        <f ca="1">IF(L345&gt;0,N345*100/L345,0)</f>
        <v>50.772646067133003</v>
      </c>
      <c r="P345" s="1004">
        <f ca="1">IF(M345&gt;0,N345*100/M345,0)</f>
        <v>68.421481251236258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>L349+L352</f>
        <v>0</v>
      </c>
      <c r="M346" s="899">
        <f>M349+M352</f>
        <v>0</v>
      </c>
      <c r="N346" s="899">
        <f>N349+N352</f>
        <v>0</v>
      </c>
      <c r="O346" s="899">
        <f>IF(L346&gt;0,N346*100/L346,0)</f>
        <v>0</v>
      </c>
      <c r="P346" s="899">
        <f>IF(M346&gt;0,N346*100/M346,0)</f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ca="1">L350+L353</f>
        <v>1192260</v>
      </c>
      <c r="M347" s="899">
        <f ca="1">M350+M353</f>
        <v>884725</v>
      </c>
      <c r="N347" s="899">
        <f ca="1">N350+N353</f>
        <v>605341.94999999995</v>
      </c>
      <c r="O347" s="899">
        <f ca="1">IF(L347&gt;0,N347*100/L347,0)</f>
        <v>50.772646067133003</v>
      </c>
      <c r="P347" s="899">
        <f ca="1">IF(M347&gt;0,N347*100/M347,0)</f>
        <v>68.421481251236258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ca="1">L349+L350</f>
        <v>1118160</v>
      </c>
      <c r="M348" s="893">
        <f ca="1">M349+M350</f>
        <v>810625</v>
      </c>
      <c r="N348" s="893">
        <f ca="1">N349+N350</f>
        <v>531241.94999999995</v>
      </c>
      <c r="O348" s="893">
        <f ca="1">IF(L348&gt;0,N348*100/L348,0)</f>
        <v>47.510369714531009</v>
      </c>
      <c r="P348" s="893">
        <f ca="1">IF(M348&gt;0,N348*100/M348,0)</f>
        <v>65.534858905165763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>IF(L349&gt;0,N349*100/L349,0)</f>
        <v>0</v>
      </c>
      <c r="P349" s="899">
        <f>IF(M349&gt;0,N349*100/M349,0)</f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IFERROR(__xludf.DUMMYFUNCTION("IMPORTRANGE(""https://docs.google.com/spreadsheets/d/1MeEWN-I1oV_STSDYn1IFDPWt_1FKiwhDph83XaGc0o0/edit?usp=sharing"",""งบพรบ!EW47"")"),1118160)</f>
        <v>1118160</v>
      </c>
      <c r="M350" s="899">
        <f ca="1">IFERROR(__xludf.DUMMYFUNCTION("IMPORTRANGE(""https://docs.google.com/spreadsheets/d/1MeEWN-I1oV_STSDYn1IFDPWt_1FKiwhDph83XaGc0o0/edit?usp=sharing"",""งบพรบ!FB47"")"),810625)</f>
        <v>810625</v>
      </c>
      <c r="N350" s="899">
        <f ca="1">IFERROR(__xludf.DUMMYFUNCTION("IMPORTRANGE(""https://docs.google.com/spreadsheets/d/1MeEWN-I1oV_STSDYn1IFDPWt_1FKiwhDph83XaGc0o0/edit?usp=sharing"",""งบพรบ!FD47"")"),531241.95)</f>
        <v>531241.94999999995</v>
      </c>
      <c r="O350" s="899">
        <f ca="1">IF(L350&gt;0,N350*100/L350,0)</f>
        <v>47.510369714531009</v>
      </c>
      <c r="P350" s="899">
        <f ca="1">IF(M350&gt;0,N350*100/M350,0)</f>
        <v>65.534858905165763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ca="1">L352+L353</f>
        <v>74100</v>
      </c>
      <c r="M351" s="893">
        <f ca="1">M352+M353</f>
        <v>74100</v>
      </c>
      <c r="N351" s="893">
        <f ca="1">N352+N353</f>
        <v>74100</v>
      </c>
      <c r="O351" s="893">
        <f ca="1">IF(L351&gt;0,N351*100/L351,0)</f>
        <v>100</v>
      </c>
      <c r="P351" s="893">
        <f ca="1">IF(M351&gt;0,N351*100/M351,0)</f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>IF(L352&gt;0,N352*100/L352,0)</f>
        <v>0</v>
      </c>
      <c r="P352" s="899">
        <f>IF(M352&gt;0,N352*100/M352,0)</f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IFERROR(__xludf.DUMMYFUNCTION("IMPORTRANGE(""https://docs.google.com/spreadsheets/d/1MeEWN-I1oV_STSDYn1IFDPWt_1FKiwhDph83XaGc0o0/edit?usp=sharing"",""งบพรบ!EZ47"")"),74100)</f>
        <v>74100</v>
      </c>
      <c r="M353" s="899">
        <f ca="1">IFERROR(__xludf.DUMMYFUNCTION("IMPORTRANGE(""https://docs.google.com/spreadsheets/d/1MeEWN-I1oV_STSDYn1IFDPWt_1FKiwhDph83XaGc0o0/edit?usp=sharing"",""งบพรบ!FC47"")"),74100)</f>
        <v>74100</v>
      </c>
      <c r="N353" s="899">
        <f ca="1">IFERROR(__xludf.DUMMYFUNCTION("IMPORTRANGE(""https://docs.google.com/spreadsheets/d/1MeEWN-I1oV_STSDYn1IFDPWt_1FKiwhDph83XaGc0o0/edit?usp=sharing"",""งบพรบ!FE47"")"),74100)</f>
        <v>74100</v>
      </c>
      <c r="O353" s="899">
        <f ca="1">IF(L353&gt;0,N353*100/L353,0)</f>
        <v>100</v>
      </c>
      <c r="P353" s="899">
        <f ca="1">IF(M353&gt;0,N353*100/M353,0)</f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IFERROR(__xludf.DUMMYFUNCTION("IMPORTRANGE(""https://docs.google.com/spreadsheets/d/1QqKyyYR6Q21VydFLVH3TRQUabQu_ym0Zz7PgGX0-kHA/edit?usp=sharing"",""แผน!EP47"")"),381)</f>
        <v>381</v>
      </c>
      <c r="J355" s="1218">
        <f ca="1">J362</f>
        <v>28</v>
      </c>
      <c r="K355" s="1219">
        <f ca="1">IF(I355&gt;0,J355*100/I355,0)</f>
        <v>7.349081364829396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IFERROR(__xludf.DUMMYFUNCTION("IMPORTRANGE(""https://docs.google.com/spreadsheets/d/1XWAQStnk-4SwqDmLtmXYiTMKHgktTP8We1SCoS47DrQ/edit?usp=sharing"",""จัดที่ดิน!W47"")"),188)</f>
        <v>188</v>
      </c>
      <c r="K358" s="893">
        <f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IFERROR(__xludf.DUMMYFUNCTION("IMPORTRANGE(""https://docs.google.com/spreadsheets/d/1QqKyyYR6Q21VydFLVH3TRQUabQu_ym0Zz7PgGX0-kHA/edit?usp=sharing"",""แผน!EO47"")"),4100)</f>
        <v>4100</v>
      </c>
      <c r="J359" s="892">
        <f ca="1">IFERROR(__xludf.DUMMYFUNCTION("IMPORTRANGE(""https://docs.google.com/spreadsheets/d/1XWAQStnk-4SwqDmLtmXYiTMKHgktTP8We1SCoS47DrQ/edit?usp=sharing"",""จัดที่ดิน!X47"")"),2093.88)</f>
        <v>2093.88</v>
      </c>
      <c r="K359" s="893">
        <f ca="1">IF(I359&gt;0,J359*100/I359,0)</f>
        <v>51.070243902439024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IFERROR(__xludf.DUMMYFUNCTION("IMPORTRANGE(""https://docs.google.com/spreadsheets/d/1QqKyyYR6Q21VydFLVH3TRQUabQu_ym0Zz7PgGX0-kHA/edit?usp=sharing"",""แผน!EP47"")"),381)</f>
        <v>381</v>
      </c>
      <c r="J360" s="892">
        <f ca="1">IFERROR(__xludf.DUMMYFUNCTION("IMPORTRANGE(""https://docs.google.com/spreadsheets/d/1XWAQStnk-4SwqDmLtmXYiTMKHgktTP8We1SCoS47DrQ/edit?usp=sharing"",""จัดที่ดิน!Y47"")"),196)</f>
        <v>196</v>
      </c>
      <c r="K360" s="893">
        <f ca="1">IF(I360&gt;0,J360*100/I360,0)</f>
        <v>51.443569553805773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IFERROR(__xludf.DUMMYFUNCTION("IMPORTRANGE(""https://docs.google.com/spreadsheets/d/1XWAQStnk-4SwqDmLtmXYiTMKHgktTP8We1SCoS47DrQ/edit?usp=sharing"",""จัดที่ดิน!Z47"")"),2208.2)</f>
        <v>2208.1999999999998</v>
      </c>
      <c r="K361" s="893">
        <f>IF(I361&gt;0,J361*100/I361,0)</f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IFERROR(__xludf.DUMMYFUNCTION("IMPORTRANGE(""https://docs.google.com/spreadsheets/d/1QqKyyYR6Q21VydFLVH3TRQUabQu_ym0Zz7PgGX0-kHA/edit?usp=sharing"",""แผน!EP47"")"),381)</f>
        <v>381</v>
      </c>
      <c r="J362" s="892">
        <f ca="1">IFERROR(__xludf.DUMMYFUNCTION("IMPORTRANGE(""https://docs.google.com/spreadsheets/d/1XWAQStnk-4SwqDmLtmXYiTMKHgktTP8We1SCoS47DrQ/edit?usp=sharing"",""จัดที่ดิน!AA47"")"),28)</f>
        <v>28</v>
      </c>
      <c r="K362" s="893">
        <f ca="1">IF(I362&gt;0,J362*100/I362,0)</f>
        <v>7.349081364829396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IFERROR(__xludf.DUMMYFUNCTION("IMPORTRANGE(""https://docs.google.com/spreadsheets/d/1XWAQStnk-4SwqDmLtmXYiTMKHgktTP8We1SCoS47DrQ/edit?usp=sharing"",""จัดที่ดิน!AB47"")"),291.36)</f>
        <v>291.36</v>
      </c>
      <c r="K363" s="893">
        <f>IF(I363&gt;0,J363*100/I363,0)</f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ca="1">I365+I374</f>
        <v>801</v>
      </c>
      <c r="J364" s="1231">
        <f ca="1">J365+J374</f>
        <v>335</v>
      </c>
      <c r="K364" s="1232">
        <f ca="1">IF(I364&gt;0,J364*100/I364,0)</f>
        <v>41.822721598002495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IFERROR(__xludf.DUMMYFUNCTION("IMPORTRANGE(""https://docs.google.com/spreadsheets/d/1QqKyyYR6Q21VydFLVH3TRQUabQu_ym0Zz7PgGX0-kHA/edit?usp=sharing"",""แผน!EJ47"")"),10)</f>
        <v>10</v>
      </c>
      <c r="J365" s="1239">
        <f ca="1">J372</f>
        <v>10</v>
      </c>
      <c r="K365" s="1240">
        <f ca="1">IF(I365&gt;0,J365*100/I365,0)</f>
        <v>100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IFERROR(__xludf.DUMMYFUNCTION("IMPORTRANGE(""https://docs.google.com/spreadsheets/d/1XWAQStnk-4SwqDmLtmXYiTMKHgktTP8We1SCoS47DrQ/edit?usp=sharing"",""จัดที่ดิน!E47"")"),2)</f>
        <v>2</v>
      </c>
      <c r="K368" s="893">
        <f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IFERROR(__xludf.DUMMYFUNCTION("IMPORTRANGE(""https://docs.google.com/spreadsheets/d/1QqKyyYR6Q21VydFLVH3TRQUabQu_ym0Zz7PgGX0-kHA/edit?usp=sharing"",""แผน!EI47"")"),100)</f>
        <v>100</v>
      </c>
      <c r="J369" s="892">
        <f ca="1">IFERROR(__xludf.DUMMYFUNCTION("IMPORTRANGE(""https://docs.google.com/spreadsheets/d/1XWAQStnk-4SwqDmLtmXYiTMKHgktTP8We1SCoS47DrQ/edit?usp=sharing"",""จัดที่ดิน!F47"")"),16.1)</f>
        <v>16.100000000000001</v>
      </c>
      <c r="K369" s="893">
        <f ca="1">IF(I369&gt;0,J369*100/I369,0)</f>
        <v>16.100000000000001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IFERROR(__xludf.DUMMYFUNCTION("IMPORTRANGE(""https://docs.google.com/spreadsheets/d/1QqKyyYR6Q21VydFLVH3TRQUabQu_ym0Zz7PgGX0-kHA/edit?usp=sharing"",""แผน!EJ47"")"),10)</f>
        <v>10</v>
      </c>
      <c r="J370" s="892">
        <f ca="1">IFERROR(__xludf.DUMMYFUNCTION("IMPORTRANGE(""https://docs.google.com/spreadsheets/d/1XWAQStnk-4SwqDmLtmXYiTMKHgktTP8We1SCoS47DrQ/edit?usp=sharing"",""จัดที่ดิน!G47"")"),10)</f>
        <v>10</v>
      </c>
      <c r="K370" s="893">
        <f ca="1">IF(I370&gt;0,J370*100/I370,0)</f>
        <v>100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IFERROR(__xludf.DUMMYFUNCTION("IMPORTRANGE(""https://docs.google.com/spreadsheets/d/1XWAQStnk-4SwqDmLtmXYiTMKHgktTP8We1SCoS47DrQ/edit?usp=sharing"",""จัดที่ดิน!H47"")"),130.42)</f>
        <v>130.41999999999999</v>
      </c>
      <c r="K371" s="893">
        <f>IF(I371&gt;0,J371*100/I371,0)</f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IFERROR(__xludf.DUMMYFUNCTION("IMPORTRANGE(""https://docs.google.com/spreadsheets/d/1QqKyyYR6Q21VydFLVH3TRQUabQu_ym0Zz7PgGX0-kHA/edit?usp=sharing"",""แผน!EJ47"")"),10)</f>
        <v>10</v>
      </c>
      <c r="J372" s="892">
        <f ca="1">IFERROR(__xludf.DUMMYFUNCTION("IMPORTRANGE(""https://docs.google.com/spreadsheets/d/1XWAQStnk-4SwqDmLtmXYiTMKHgktTP8We1SCoS47DrQ/edit?usp=sharing"",""จัดที่ดิน!I47"")"),10)</f>
        <v>10</v>
      </c>
      <c r="K372" s="893">
        <f ca="1">IF(I372&gt;0,J372*100/I372,0)</f>
        <v>100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IFERROR(__xludf.DUMMYFUNCTION("IMPORTRANGE(""https://docs.google.com/spreadsheets/d/1XWAQStnk-4SwqDmLtmXYiTMKHgktTP8We1SCoS47DrQ/edit?usp=sharing"",""จัดที่ดิน!J47"")"),130.42)</f>
        <v>130.41999999999999</v>
      </c>
      <c r="K373" s="893">
        <f>IF(I373&gt;0,J373*100/I373,0)</f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IFERROR(__xludf.DUMMYFUNCTION("IMPORTRANGE(""https://docs.google.com/spreadsheets/d/1QqKyyYR6Q21VydFLVH3TRQUabQu_ym0Zz7PgGX0-kHA/edit?usp=sharing"",""แผน!EU47"")"),791)</f>
        <v>791</v>
      </c>
      <c r="J374" s="1239">
        <f ca="1">J381</f>
        <v>325</v>
      </c>
      <c r="K374" s="1240">
        <f ca="1">IF(I374&gt;0,J374*100/I374,0)</f>
        <v>41.087231352718078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IFERROR(__xludf.DUMMYFUNCTION("IMPORTRANGE(""https://docs.google.com/spreadsheets/d/1XWAQStnk-4SwqDmLtmXYiTMKHgktTP8We1SCoS47DrQ/edit?usp=sharing"",""จัดที่ดิน!AH47"")"),186)</f>
        <v>186</v>
      </c>
      <c r="K377" s="893">
        <f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IFERROR(__xludf.DUMMYFUNCTION("IMPORTRANGE(""https://docs.google.com/spreadsheets/d/1QqKyyYR6Q21VydFLVH3TRQUabQu_ym0Zz7PgGX0-kHA/edit?usp=sharing"",""แผน!ET47"")"),4000)</f>
        <v>4000</v>
      </c>
      <c r="J378" s="892">
        <f ca="1">IFERROR(__xludf.DUMMYFUNCTION("IMPORTRANGE(""https://docs.google.com/spreadsheets/d/1XWAQStnk-4SwqDmLtmXYiTMKHgktTP8We1SCoS47DrQ/edit?usp=sharing"",""จัดที่ดิน!AI47"")"),2077.78)</f>
        <v>2077.7800000000002</v>
      </c>
      <c r="K378" s="893">
        <f ca="1">IF(I378&gt;0,J378*100/I378,0)</f>
        <v>51.944500000000005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IFERROR(__xludf.DUMMYFUNCTION("IMPORTRANGE(""https://docs.google.com/spreadsheets/d/1QqKyyYR6Q21VydFLVH3TRQUabQu_ym0Zz7PgGX0-kHA/edit?usp=sharing"",""แผน!EU47"")"),791)</f>
        <v>791</v>
      </c>
      <c r="J379" s="892">
        <f ca="1">IFERROR(__xludf.DUMMYFUNCTION("IMPORTRANGE(""https://docs.google.com/spreadsheets/d/1XWAQStnk-4SwqDmLtmXYiTMKHgktTP8We1SCoS47DrQ/edit?usp=sharing"",""จัดที่ดิน!AJ47"")"),494)</f>
        <v>494</v>
      </c>
      <c r="K379" s="893">
        <f ca="1">IF(I379&gt;0,J379*100/I379,0)</f>
        <v>62.452591656131482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IFERROR(__xludf.DUMMYFUNCTION("IMPORTRANGE(""https://docs.google.com/spreadsheets/d/1XWAQStnk-4SwqDmLtmXYiTMKHgktTP8We1SCoS47DrQ/edit?usp=sharing"",""จัดที่ดิน!AK47"")"),7018.38999999999)</f>
        <v>7018.3899999999903</v>
      </c>
      <c r="K380" s="893">
        <f>IF(I380&gt;0,J380*100/I380,0)</f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IFERROR(__xludf.DUMMYFUNCTION("IMPORTRANGE(""https://docs.google.com/spreadsheets/d/1QqKyyYR6Q21VydFLVH3TRQUabQu_ym0Zz7PgGX0-kHA/edit?usp=sharing"",""แผน!EU47"")"),791)</f>
        <v>791</v>
      </c>
      <c r="J381" s="892">
        <f ca="1">IFERROR(__xludf.DUMMYFUNCTION("IMPORTRANGE(""https://docs.google.com/spreadsheets/d/1XWAQStnk-4SwqDmLtmXYiTMKHgktTP8We1SCoS47DrQ/edit?usp=sharing"",""จัดที่ดิน!AL47"")"),325)</f>
        <v>325</v>
      </c>
      <c r="K381" s="893">
        <f ca="1">IF(I381&gt;0,J381*100/I381,0)</f>
        <v>41.087231352718078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IFERROR(__xludf.DUMMYFUNCTION("IMPORTRANGE(""https://docs.google.com/spreadsheets/d/1XWAQStnk-4SwqDmLtmXYiTMKHgktTP8We1SCoS47DrQ/edit?usp=sharing"",""จัดที่ดิน!AM47"")"),5088.57)</f>
        <v>5088.57</v>
      </c>
      <c r="K382" s="893">
        <f>IF(I382&gt;0,J382*100/I382,0)</f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IFERROR(__xludf.DUMMYFUNCTION("IMPORTRANGE(""https://docs.google.com/spreadsheets/d/1QqKyyYR6Q21VydFLVH3TRQUabQu_ym0Zz7PgGX0-kHA/edit?usp=sharing"",""แผน!EW47"")"),120)</f>
        <v>120</v>
      </c>
      <c r="J385" s="1149">
        <f ca="1">IFERROR(__xludf.DUMMYFUNCTION("IMPORTRANGE(""https://docs.google.com/spreadsheets/d/1XWAQStnk-4SwqDmLtmXYiTMKHgktTP8We1SCoS47DrQ/edit?usp=sharing"",""จัดที่ดิน!AP47"")"),0)</f>
        <v>0</v>
      </c>
      <c r="K385" s="1251">
        <f ca="1">IF(I385&gt;0,J385*100/I385,0)</f>
        <v>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>I400</f>
        <v>0</v>
      </c>
      <c r="J388" s="1270">
        <f>J400</f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ca="1">L390+L391</f>
        <v>0</v>
      </c>
      <c r="M389" s="1004">
        <f ca="1">M390+M391</f>
        <v>0</v>
      </c>
      <c r="N389" s="1004">
        <f ca="1">N390+N391</f>
        <v>0</v>
      </c>
      <c r="O389" s="1004">
        <f ca="1">IF(L389&gt;0,N389*100/L389,0)</f>
        <v>0</v>
      </c>
      <c r="P389" s="1004">
        <f ca="1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>L393+L396</f>
        <v>0</v>
      </c>
      <c r="M390" s="899">
        <f>M393+M396</f>
        <v>0</v>
      </c>
      <c r="N390" s="899">
        <f>N393+N396</f>
        <v>0</v>
      </c>
      <c r="O390" s="899">
        <f>IF(L390&gt;0,N390*100/L390,0)</f>
        <v>0</v>
      </c>
      <c r="P390" s="899">
        <f>IF(M390&gt;0,N390*100/M390,0)</f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ca="1">L394+L397</f>
        <v>0</v>
      </c>
      <c r="M391" s="899">
        <f ca="1">M394+M397</f>
        <v>0</v>
      </c>
      <c r="N391" s="899">
        <f ca="1">N394+N397</f>
        <v>0</v>
      </c>
      <c r="O391" s="899">
        <f ca="1">IF(L391&gt;0,N391*100/L391,0)</f>
        <v>0</v>
      </c>
      <c r="P391" s="899">
        <f ca="1">IF(M391&gt;0,N391*100/M391,0)</f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ca="1">L393+L394</f>
        <v>0</v>
      </c>
      <c r="M392" s="893">
        <f ca="1">M393+M394</f>
        <v>0</v>
      </c>
      <c r="N392" s="893">
        <f ca="1">N393+N394</f>
        <v>0</v>
      </c>
      <c r="O392" s="893">
        <f ca="1">IF(L392&gt;0,N392*100/L392,0)</f>
        <v>0</v>
      </c>
      <c r="P392" s="893">
        <f ca="1">IF(M392&gt;0,N392*100/M392,0)</f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>IF(L393&gt;0,N393*100/L393,0)</f>
        <v>0</v>
      </c>
      <c r="P393" s="899">
        <f>IF(M393&gt;0,N393*100/M393,0)</f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IFERROR(__xludf.DUMMYFUNCTION("IMPORTRANGE(""https://docs.google.com/spreadsheets/d/1MeEWN-I1oV_STSDYn1IFDPWt_1FKiwhDph83XaGc0o0/edit?usp=sharing"",""งบพรบ!FG47"")"),0)</f>
        <v>0</v>
      </c>
      <c r="M394" s="899">
        <f ca="1">IFERROR(__xludf.DUMMYFUNCTION("IMPORTRANGE(""https://docs.google.com/spreadsheets/d/1MeEWN-I1oV_STSDYn1IFDPWt_1FKiwhDph83XaGc0o0/edit?usp=sharing"",""งบพรบ!FL47"")"),0)</f>
        <v>0</v>
      </c>
      <c r="N394" s="899">
        <f ca="1">IFERROR(__xludf.DUMMYFUNCTION("IMPORTRANGE(""https://docs.google.com/spreadsheets/d/1MeEWN-I1oV_STSDYn1IFDPWt_1FKiwhDph83XaGc0o0/edit?usp=sharing"",""งบพรบ!FN47"")"),0)</f>
        <v>0</v>
      </c>
      <c r="O394" s="899">
        <f ca="1">IF(L394&gt;0,N394*100/L394,0)</f>
        <v>0</v>
      </c>
      <c r="P394" s="899">
        <f ca="1">IF(M394&gt;0,N394*100/M394,0)</f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ca="1">L396+L397</f>
        <v>0</v>
      </c>
      <c r="M395" s="893">
        <f ca="1">M396+M397</f>
        <v>0</v>
      </c>
      <c r="N395" s="893">
        <f ca="1">N396+N397</f>
        <v>0</v>
      </c>
      <c r="O395" s="893">
        <f ca="1">IF(L395&gt;0,N395*100/L395,0)</f>
        <v>0</v>
      </c>
      <c r="P395" s="893">
        <f ca="1">IF(M395&gt;0,N395*100/M395,0)</f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>IF(L396&gt;0,N396*100/L396,0)</f>
        <v>0</v>
      </c>
      <c r="P396" s="899">
        <f>IF(M396&gt;0,N396*100/M396,0)</f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IFERROR(__xludf.DUMMYFUNCTION("IMPORTRANGE(""https://docs.google.com/spreadsheets/d/1MeEWN-I1oV_STSDYn1IFDPWt_1FKiwhDph83XaGc0o0/edit?usp=sharing"",""งบพรบ!FJ47"")"),0)</f>
        <v>0</v>
      </c>
      <c r="M397" s="899">
        <f ca="1">IFERROR(__xludf.DUMMYFUNCTION("IMPORTRANGE(""https://docs.google.com/spreadsheets/d/1MeEWN-I1oV_STSDYn1IFDPWt_1FKiwhDph83XaGc0o0/edit?usp=sharing"",""งบพรบ!FM47"")"),0)</f>
        <v>0</v>
      </c>
      <c r="N397" s="899">
        <f ca="1">IFERROR(__xludf.DUMMYFUNCTION("IMPORTRANGE(""https://docs.google.com/spreadsheets/d/1MeEWN-I1oV_STSDYn1IFDPWt_1FKiwhDph83XaGc0o0/edit?usp=sharing"",""งบพรบ!FO47"")"),0)</f>
        <v>0</v>
      </c>
      <c r="O397" s="899">
        <f ca="1">IF(L397&gt;0,N397*100/L397,0)</f>
        <v>0</v>
      </c>
      <c r="P397" s="899">
        <f ca="1">IF(M397&gt;0,N397*100/M397,0)</f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>IF(I400&gt;0,J400*100/I400,0)</f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>I412</f>
        <v>0</v>
      </c>
      <c r="J401" s="1270">
        <f>J412</f>
        <v>0</v>
      </c>
      <c r="K401" s="1271">
        <f>IF(I401&gt;0,J401*100/I401,0)</f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ca="1">L403+L404</f>
        <v>0</v>
      </c>
      <c r="M402" s="1004">
        <f ca="1">M403+M404</f>
        <v>0</v>
      </c>
      <c r="N402" s="1004">
        <f ca="1">N403+N404</f>
        <v>0</v>
      </c>
      <c r="O402" s="1004">
        <f ca="1">IF(L402&gt;0,N402*100/L402,0)</f>
        <v>0</v>
      </c>
      <c r="P402" s="1004">
        <f ca="1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>L406+L409</f>
        <v>0</v>
      </c>
      <c r="M403" s="899">
        <f>M406+M409</f>
        <v>0</v>
      </c>
      <c r="N403" s="899">
        <f>N406+N409</f>
        <v>0</v>
      </c>
      <c r="O403" s="899">
        <f>IF(L403&gt;0,N403*100/L403,0)</f>
        <v>0</v>
      </c>
      <c r="P403" s="899">
        <f>IF(M403&gt;0,N403*100/M403,0)</f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ca="1">L407+L410</f>
        <v>0</v>
      </c>
      <c r="M404" s="899">
        <f ca="1">M407+M410</f>
        <v>0</v>
      </c>
      <c r="N404" s="899">
        <f ca="1">N407+N410</f>
        <v>0</v>
      </c>
      <c r="O404" s="899">
        <f ca="1">IF(L404&gt;0,N404*100/L404,0)</f>
        <v>0</v>
      </c>
      <c r="P404" s="899">
        <f ca="1">IF(M404&gt;0,N404*100/M404,0)</f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ca="1">L406+L407</f>
        <v>0</v>
      </c>
      <c r="M405" s="893">
        <f ca="1">M406+M407</f>
        <v>0</v>
      </c>
      <c r="N405" s="893">
        <f ca="1">N406+N407</f>
        <v>0</v>
      </c>
      <c r="O405" s="893">
        <f ca="1">IF(L405&gt;0,N405*100/L405,0)</f>
        <v>0</v>
      </c>
      <c r="P405" s="893">
        <f ca="1">IF(M405&gt;0,N405*100/M405,0)</f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>IF(L406&gt;0,N406*100/L406,0)</f>
        <v>0</v>
      </c>
      <c r="P406" s="899">
        <f>IF(M406&gt;0,N406*100/M406,0)</f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IFERROR(__xludf.DUMMYFUNCTION("IMPORTRANGE(""https://docs.google.com/spreadsheets/d/1MeEWN-I1oV_STSDYn1IFDPWt_1FKiwhDph83XaGc0o0/edit?usp=sharing"",""งบพรบ!FQ47"")"),0)</f>
        <v>0</v>
      </c>
      <c r="M407" s="899">
        <f ca="1">IFERROR(__xludf.DUMMYFUNCTION("IMPORTRANGE(""https://docs.google.com/spreadsheets/d/1MeEWN-I1oV_STSDYn1IFDPWt_1FKiwhDph83XaGc0o0/edit?usp=sharing"",""งบพรบ!FV47"")"),0)</f>
        <v>0</v>
      </c>
      <c r="N407" s="899">
        <f ca="1">IFERROR(__xludf.DUMMYFUNCTION("IMPORTRANGE(""https://docs.google.com/spreadsheets/d/1MeEWN-I1oV_STSDYn1IFDPWt_1FKiwhDph83XaGc0o0/edit?usp=sharing"",""งบพรบ!FX47"")"),0)</f>
        <v>0</v>
      </c>
      <c r="O407" s="899">
        <f ca="1">IF(L407&gt;0,N407*100/L407,0)</f>
        <v>0</v>
      </c>
      <c r="P407" s="899">
        <f ca="1">IF(M407&gt;0,N407*100/M407,0)</f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ca="1">L409+L410</f>
        <v>0</v>
      </c>
      <c r="M408" s="893">
        <f ca="1">M409+M410</f>
        <v>0</v>
      </c>
      <c r="N408" s="893">
        <f ca="1">N409+N410</f>
        <v>0</v>
      </c>
      <c r="O408" s="893">
        <f ca="1">IF(L408&gt;0,N408*100/L408,0)</f>
        <v>0</v>
      </c>
      <c r="P408" s="893">
        <f ca="1">IF(M408&gt;0,N408*100/M408,0)</f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>IF(L409&gt;0,N409*100/L409,0)</f>
        <v>0</v>
      </c>
      <c r="P409" s="899">
        <f>IF(M409&gt;0,N409*100/M409,0)</f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IFERROR(__xludf.DUMMYFUNCTION("IMPORTRANGE(""https://docs.google.com/spreadsheets/d/1MeEWN-I1oV_STSDYn1IFDPWt_1FKiwhDph83XaGc0o0/edit?usp=sharing"",""งบพรบ!FT47"")"),0)</f>
        <v>0</v>
      </c>
      <c r="M410" s="899">
        <f ca="1">IFERROR(__xludf.DUMMYFUNCTION("IMPORTRANGE(""https://docs.google.com/spreadsheets/d/1MeEWN-I1oV_STSDYn1IFDPWt_1FKiwhDph83XaGc0o0/edit?usp=sharing"",""งบพรบ!FW47"")"),0)</f>
        <v>0</v>
      </c>
      <c r="N410" s="899">
        <f ca="1">IFERROR(__xludf.DUMMYFUNCTION("IMPORTRANGE(""https://docs.google.com/spreadsheets/d/1MeEWN-I1oV_STSDYn1IFDPWt_1FKiwhDph83XaGc0o0/edit?usp=sharing"",""งบพรบ!FY47"")"),0)</f>
        <v>0</v>
      </c>
      <c r="O410" s="899">
        <f ca="1">IF(L410&gt;0,N410*100/L410,0)</f>
        <v>0</v>
      </c>
      <c r="P410" s="899">
        <f ca="1">IF(M410&gt;0,N410*100/M410,0)</f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>IF(I413&gt;0,J413*100/I413,0)</f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ca="1">L419+L444+L467+L502+L523+L544+L629+L655+L685+L737+L754+L770+L786+L805</f>
        <v>2030048</v>
      </c>
      <c r="M414" s="1293">
        <f ca="1">M419+M444+M467+M502+M523+M544+M629+M655+M685+M737+M754+M770+M786+M805</f>
        <v>2015564</v>
      </c>
      <c r="N414" s="1293">
        <f>N419+N444+N467+N502+N523+N544+N629+N655+N685+N737+N754+N770+N786+N805</f>
        <v>808848.63</v>
      </c>
      <c r="O414" s="1293">
        <f ca="1">IF(L414&gt;0,N414*100/L414,0)</f>
        <v>39.843817978688186</v>
      </c>
      <c r="P414" s="1293">
        <f ca="1">IF(M414&gt;0,N414*100/M414,0)</f>
        <v>40.130138760168371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ca="1">I433</f>
        <v>20</v>
      </c>
      <c r="J417" s="1306">
        <f ca="1">J433</f>
        <v>20</v>
      </c>
      <c r="K417" s="1307">
        <f ca="1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ca="1">I434</f>
        <v>1</v>
      </c>
      <c r="J418" s="1306">
        <f>J434</f>
        <v>1</v>
      </c>
      <c r="K418" s="1307">
        <f ca="1">IF(I418&gt;0,J418*100/I418,0)</f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ca="1">L420+L421</f>
        <v>78660</v>
      </c>
      <c r="M419" s="1004">
        <f ca="1">M420+M421</f>
        <v>78660</v>
      </c>
      <c r="N419" s="1004">
        <f>N420+N421</f>
        <v>56839</v>
      </c>
      <c r="O419" s="1004">
        <f ca="1">IF(L419&gt;0,N419*100/L419,0)</f>
        <v>72.259089753368926</v>
      </c>
      <c r="P419" s="1004">
        <f ca="1">IF(M419&gt;0,N419*100/M419,0)</f>
        <v>72.259089753368926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>L423+L430</f>
        <v>0</v>
      </c>
      <c r="M420" s="899">
        <f>M423+M430</f>
        <v>0</v>
      </c>
      <c r="N420" s="899">
        <f>N423+N430</f>
        <v>0</v>
      </c>
      <c r="O420" s="899">
        <f>IF(L420&gt;0,N420*100/L420,0)</f>
        <v>0</v>
      </c>
      <c r="P420" s="899">
        <f>IF(M420&gt;0,N420*100/M420,0)</f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ca="1">L424+L431</f>
        <v>78660</v>
      </c>
      <c r="M421" s="899">
        <f ca="1">M424+M431</f>
        <v>78660</v>
      </c>
      <c r="N421" s="899">
        <f>N424+N431</f>
        <v>56839</v>
      </c>
      <c r="O421" s="899">
        <f ca="1">IF(L421&gt;0,N421*100/L421,0)</f>
        <v>72.259089753368926</v>
      </c>
      <c r="P421" s="899">
        <f ca="1">IF(M421&gt;0,N421*100/M421,0)</f>
        <v>72.259089753368926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ca="1">L423+L424</f>
        <v>78660</v>
      </c>
      <c r="M422" s="893">
        <f ca="1">M423+M424</f>
        <v>78660</v>
      </c>
      <c r="N422" s="893">
        <f>N423+N424</f>
        <v>56839</v>
      </c>
      <c r="O422" s="893">
        <f ca="1">IF(L422&gt;0,N422*100/L422,0)</f>
        <v>72.259089753368926</v>
      </c>
      <c r="P422" s="893">
        <f ca="1">IF(M422&gt;0,N422*100/M422,0)</f>
        <v>72.259089753368926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>IF(L423&gt;0,N423*100/L423,0)</f>
        <v>0</v>
      </c>
      <c r="P423" s="899">
        <f>IF(M423&gt;0,N423*100/M423,0)</f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IFERROR(__xludf.DUMMYFUNCTION("IMPORTRANGE(""https://docs.google.com/spreadsheets/d/1QqKyyYR6Q21VydFLVH3TRQUabQu_ym0Zz7PgGX0-kHA/edit?usp=sharing"",""แผน!EY47"")"),78660)</f>
        <v>78660</v>
      </c>
      <c r="M424" s="899">
        <f ca="1">L424</f>
        <v>78660</v>
      </c>
      <c r="N424" s="899">
        <f>N425+N426+N427+N428</f>
        <v>56839</v>
      </c>
      <c r="O424" s="899">
        <f ca="1">IF(L424&gt;0,N424*100/L424,0)</f>
        <v>72.259089753368926</v>
      </c>
      <c r="P424" s="899">
        <f ca="1">IF(M424&gt;0,N424*100/M424,0)</f>
        <v>72.259089753368926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52139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4700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ca="1">L430+L431</f>
        <v>0</v>
      </c>
      <c r="M429" s="893">
        <f>M430+M431</f>
        <v>0</v>
      </c>
      <c r="N429" s="893">
        <f>N430+N431</f>
        <v>0</v>
      </c>
      <c r="O429" s="893">
        <f ca="1">IF(L429&gt;0,N429*100/L429,0)</f>
        <v>0</v>
      </c>
      <c r="P429" s="893">
        <f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>IF(L430&gt;0,N430*100/L430,0)</f>
        <v>0</v>
      </c>
      <c r="P430" s="899">
        <f>IF(M430&gt;0,N430*100/M430,0)</f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IFERROR(__xludf.DUMMYFUNCTION("IMPORTRANGE(""https://docs.google.com/spreadsheets/d/1QqKyyYR6Q21VydFLVH3TRQUabQu_ym0Zz7PgGX0-kHA/edit?usp=sharing"",""แผน!FB47"")"),0)</f>
        <v>0</v>
      </c>
      <c r="M431" s="899">
        <v>0</v>
      </c>
      <c r="N431" s="899">
        <v>0</v>
      </c>
      <c r="O431" s="899">
        <f ca="1">IF(L431&gt;0,N431*100/L431,0)</f>
        <v>0</v>
      </c>
      <c r="P431" s="899">
        <f>IF(M431&gt;0,N431*100/M431,0)</f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ca="1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ca="1">I438+I440</f>
        <v>1</v>
      </c>
      <c r="J434" s="1031">
        <f>J438+J440</f>
        <v>1</v>
      </c>
      <c r="K434" s="1032">
        <f ca="1">IF(I434&gt;0,J434*100/I434,0)</f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893">
        <f ca="1">IF(I435&gt;0,J435*100/I435,0)</f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893">
        <f ca="1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IFERROR(__xludf.DUMMYFUNCTION("IMPORTRANGE(""https://docs.google.com/spreadsheets/d/1QqKyyYR6Q21VydFLVH3TRQUabQu_ym0Zz7PgGX0-kHA/edit?usp=sharing"",""แผน!FE47"")"),0)</f>
        <v>0</v>
      </c>
      <c r="J438" s="1024">
        <v>0</v>
      </c>
      <c r="K438" s="893">
        <f ca="1">IF(I438&gt;0,J438*100/I438,0)</f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893">
        <f ca="1">IF(I439&gt;0,J439*100/I439,0)</f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IFERROR(__xludf.DUMMYFUNCTION("IMPORTRANGE(""https://docs.google.com/spreadsheets/d/1QqKyyYR6Q21VydFLVH3TRQUabQu_ym0Zz7PgGX0-kHA/edit?usp=sharing"",""แผน!FG47"")"),1)</f>
        <v>1</v>
      </c>
      <c r="J440" s="1024">
        <v>1</v>
      </c>
      <c r="K440" s="893">
        <f ca="1">IF(I440&gt;0,J440*100/I440,0)</f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IFERROR(__xludf.DUMMYFUNCTION("IMPORTRANGE(""https://docs.google.com/spreadsheets/d/1QqKyyYR6Q21VydFLVH3TRQUabQu_ym0Zz7PgGX0-kHA/edit?usp=sharing"",""แผน!FH47"")"),0)</f>
        <v>0</v>
      </c>
      <c r="J441" s="892">
        <v>0</v>
      </c>
      <c r="K441" s="893">
        <f ca="1">IF(I441&gt;0,J441*100/I441,0)</f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ca="1">I460</f>
        <v>90</v>
      </c>
      <c r="J442" s="1322">
        <f>J460</f>
        <v>90</v>
      </c>
      <c r="K442" s="1323">
        <f ca="1">IF(I442&gt;0,J442*100/I442,0)</f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ca="1">I462</f>
        <v>400</v>
      </c>
      <c r="J443" s="1306">
        <f>J462</f>
        <v>400</v>
      </c>
      <c r="K443" s="1307">
        <f ca="1">IF(I443&gt;0,J443*100/I443,0)</f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ca="1">L445+L446</f>
        <v>733184</v>
      </c>
      <c r="M444" s="1032">
        <f ca="1">M445+M446</f>
        <v>718700</v>
      </c>
      <c r="N444" s="1032">
        <f>N445+N446</f>
        <v>218353.25</v>
      </c>
      <c r="O444" s="1032">
        <f ca="1">IF(L444&gt;0,N444*100/L444,0)</f>
        <v>29.781507779766063</v>
      </c>
      <c r="P444" s="1032">
        <f ca="1">IF(M444&gt;0,N444*100/M444,0)</f>
        <v>30.381696117990817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>L448+L455</f>
        <v>0</v>
      </c>
      <c r="M445" s="899">
        <f>M448+M455</f>
        <v>0</v>
      </c>
      <c r="N445" s="899">
        <f>N448+N455</f>
        <v>0</v>
      </c>
      <c r="O445" s="899">
        <f>IF(L445&gt;0,N445*100/L445,0)</f>
        <v>0</v>
      </c>
      <c r="P445" s="899">
        <f>IF(M445&gt;0,N445*100/M445,0)</f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ca="1">L449+L456</f>
        <v>733184</v>
      </c>
      <c r="M446" s="899">
        <f ca="1">M449+M456</f>
        <v>718700</v>
      </c>
      <c r="N446" s="899">
        <f>N449+N456</f>
        <v>218353.25</v>
      </c>
      <c r="O446" s="899">
        <f ca="1">IF(L446&gt;0,N446*100/L446,0)</f>
        <v>29.781507779766063</v>
      </c>
      <c r="P446" s="899">
        <f ca="1">IF(M446&gt;0,N446*100/M446,0)</f>
        <v>30.381696117990817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ca="1">L448+L449</f>
        <v>733184</v>
      </c>
      <c r="M447" s="893">
        <f ca="1">M448+M449</f>
        <v>718700</v>
      </c>
      <c r="N447" s="893">
        <f>N448+N449</f>
        <v>218353.25</v>
      </c>
      <c r="O447" s="893">
        <f ca="1">IF(L447&gt;0,N447*100/L447,0)</f>
        <v>29.781507779766063</v>
      </c>
      <c r="P447" s="893">
        <f ca="1">IF(M447&gt;0,N447*100/M447,0)</f>
        <v>30.381696117990817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>IF(L448&gt;0,N448*100/L448,0)</f>
        <v>0</v>
      </c>
      <c r="P448" s="899">
        <f>IF(M448&gt;0,N448*100/M448,0)</f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IFERROR(__xludf.DUMMYFUNCTION("IMPORTRANGE(""https://docs.google.com/spreadsheets/d/1QqKyyYR6Q21VydFLVH3TRQUabQu_ym0Zz7PgGX0-kHA/edit?usp=sharing"",""แผน!FJ47"")"),733184)</f>
        <v>733184</v>
      </c>
      <c r="M449" s="899">
        <f ca="1">L449-14484</f>
        <v>718700</v>
      </c>
      <c r="N449" s="899">
        <f>N450+N451+N452+N453</f>
        <v>218353.25</v>
      </c>
      <c r="O449" s="899">
        <f ca="1">IF(L449&gt;0,N449*100/L449,0)</f>
        <v>29.781507779766063</v>
      </c>
      <c r="P449" s="899">
        <f ca="1">IF(M449&gt;0,N449*100/M449,0)</f>
        <v>30.381696117990817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114530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62903.25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40920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ca="1">L455+L456</f>
        <v>0</v>
      </c>
      <c r="M454" s="893">
        <f>M455+M456</f>
        <v>0</v>
      </c>
      <c r="N454" s="893">
        <f>N455+N456</f>
        <v>0</v>
      </c>
      <c r="O454" s="893">
        <f ca="1">IF(L454&gt;0,N454*100/L454,0)</f>
        <v>0</v>
      </c>
      <c r="P454" s="893">
        <f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>IF(L455&gt;0,N455*100/L455,0)</f>
        <v>0</v>
      </c>
      <c r="P455" s="899">
        <f>IF(M455&gt;0,N455*100/M455,0)</f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IFERROR(__xludf.DUMMYFUNCTION("IMPORTRANGE(""https://docs.google.com/spreadsheets/d/1QqKyyYR6Q21VydFLVH3TRQUabQu_ym0Zz7PgGX0-kHA/edit?usp=sharing"",""แผน!FM47"")"),0)</f>
        <v>0</v>
      </c>
      <c r="M456" s="899">
        <v>0</v>
      </c>
      <c r="N456" s="899">
        <v>0</v>
      </c>
      <c r="O456" s="899">
        <f ca="1">IF(L456&gt;0,N456*100/L456,0)</f>
        <v>0</v>
      </c>
      <c r="P456" s="899">
        <f>IF(M456&gt;0,N456*100/M456,0)</f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IFERROR(__xludf.DUMMYFUNCTION("IMPORTRANGE(""https://docs.google.com/spreadsheets/d/1QqKyyYR6Q21VydFLVH3TRQUabQu_ym0Zz7PgGX0-kHA/edit?usp=sharing"",""แผน!FN47"")"),90)</f>
        <v>90</v>
      </c>
      <c r="J460" s="1024">
        <v>90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IFERROR(__xludf.DUMMYFUNCTION("IMPORTRANGE(""https://docs.google.com/spreadsheets/d/1QqKyyYR6Q21VydFLVH3TRQUabQu_ym0Zz7PgGX0-kHA/edit?usp=sharing"",""แผน!FO47"")"),400)</f>
        <v>400</v>
      </c>
      <c r="J462" s="1024">
        <v>400</v>
      </c>
      <c r="K462" s="893">
        <f ca="1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IFERROR(__xludf.DUMMYFUNCTION("IMPORTRANGE(""https://docs.google.com/spreadsheets/d/1QqKyyYR6Q21VydFLVH3TRQUabQu_ym0Zz7PgGX0-kHA/edit?usp=sharing"",""แผน!FO47"")"),400)</f>
        <v>400</v>
      </c>
      <c r="J463" s="1024">
        <v>0</v>
      </c>
      <c r="K463" s="893">
        <f ca="1">IF(I463&gt;0,J463*100/I463,0)</f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IFERROR(__xludf.DUMMYFUNCTION("IMPORTRANGE(""https://docs.google.com/spreadsheets/d/1QqKyyYR6Q21VydFLVH3TRQUabQu_ym0Zz7PgGX0-kHA/edit?usp=sharing"",""แผน!FN47"")"),90)</f>
        <v>90</v>
      </c>
      <c r="J464" s="1024">
        <v>0</v>
      </c>
      <c r="K464" s="893">
        <f ca="1">IF(I464&gt;0,J464*100/I464,0)</f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IFERROR(__xludf.DUMMYFUNCTION("IMPORTRANGE(""https://docs.google.com/spreadsheets/d/1QqKyyYR6Q21VydFLVH3TRQUabQu_ym0Zz7PgGX0-kHA/edit?usp=sharing"",""แผน!FX47"")"),51)</f>
        <v>51</v>
      </c>
      <c r="J465" s="1322">
        <f>J485+J489+J492</f>
        <v>51</v>
      </c>
      <c r="K465" s="1323">
        <f ca="1">IF(I465&gt;0,J465*100/I465,0)</f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IFERROR(__xludf.DUMMYFUNCTION("IMPORTRANGE(""https://docs.google.com/spreadsheets/d/1QqKyyYR6Q21VydFLVH3TRQUabQu_ym0Zz7PgGX0-kHA/edit?usp=sharing"",""แผน!FW47"")"),500)</f>
        <v>500</v>
      </c>
      <c r="J466" s="1306">
        <f>J495+J498</f>
        <v>0</v>
      </c>
      <c r="K466" s="1307">
        <f ca="1">IF(I466&gt;0,J466*100/I466,0)</f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ca="1">L468+L469</f>
        <v>414993</v>
      </c>
      <c r="M467" s="1032">
        <f ca="1">M468+M469</f>
        <v>414993</v>
      </c>
      <c r="N467" s="1032">
        <f>N468+N469</f>
        <v>80180</v>
      </c>
      <c r="O467" s="1032">
        <f ca="1">IF(L467&gt;0,N467*100/L467,0)</f>
        <v>19.32080782085481</v>
      </c>
      <c r="P467" s="1032">
        <f ca="1">IF(M467&gt;0,N467*100/M467,0)</f>
        <v>19.32080782085481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>L471+L478</f>
        <v>0</v>
      </c>
      <c r="M468" s="899">
        <f>M471+M478</f>
        <v>0</v>
      </c>
      <c r="N468" s="899">
        <f>N471+N478</f>
        <v>0</v>
      </c>
      <c r="O468" s="899">
        <f>IF(L468&gt;0,N468*100/L468,0)</f>
        <v>0</v>
      </c>
      <c r="P468" s="899">
        <f>IF(M468&gt;0,N468*100/M468,0)</f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ca="1">L472+L479</f>
        <v>414993</v>
      </c>
      <c r="M469" s="899">
        <f ca="1">M472+M479</f>
        <v>414993</v>
      </c>
      <c r="N469" s="899">
        <f>N472+N479</f>
        <v>80180</v>
      </c>
      <c r="O469" s="899">
        <f ca="1">IF(L469&gt;0,N469*100/L469,0)</f>
        <v>19.32080782085481</v>
      </c>
      <c r="P469" s="899">
        <f ca="1">IF(M469&gt;0,N469*100/M469,0)</f>
        <v>19.32080782085481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ca="1">L471+L472</f>
        <v>414993</v>
      </c>
      <c r="M470" s="893">
        <f ca="1">M471+M472</f>
        <v>414993</v>
      </c>
      <c r="N470" s="893">
        <f>N471+N472</f>
        <v>80180</v>
      </c>
      <c r="O470" s="893">
        <f ca="1">IF(L470&gt;0,N470*100/L470,0)</f>
        <v>19.32080782085481</v>
      </c>
      <c r="P470" s="893">
        <f ca="1">IF(M470&gt;0,N470*100/M470,0)</f>
        <v>19.32080782085481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>IF(L471&gt;0,N471*100/L471,0)</f>
        <v>0</v>
      </c>
      <c r="P471" s="899">
        <f>IF(M471&gt;0,N471*100/M471,0)</f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IFERROR(__xludf.DUMMYFUNCTION("IMPORTRANGE(""https://docs.google.com/spreadsheets/d/1QqKyyYR6Q21VydFLVH3TRQUabQu_ym0Zz7PgGX0-kHA/edit?usp=sharing"",""แผน!FS47"")"),414993)</f>
        <v>414993</v>
      </c>
      <c r="M472" s="899">
        <f ca="1">L472</f>
        <v>414993</v>
      </c>
      <c r="N472" s="899">
        <f>N473+N474+N475+N476</f>
        <v>80180</v>
      </c>
      <c r="O472" s="899">
        <f ca="1">IF(L472&gt;0,N472*100/L472,0)</f>
        <v>19.32080782085481</v>
      </c>
      <c r="P472" s="899">
        <f ca="1">IF(M472&gt;0,N472*100/M472,0)</f>
        <v>19.32080782085481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64890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1200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14090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ca="1">L478+L479</f>
        <v>0</v>
      </c>
      <c r="M477" s="893">
        <f>M478+M479</f>
        <v>0</v>
      </c>
      <c r="N477" s="893">
        <f>N478+N479</f>
        <v>0</v>
      </c>
      <c r="O477" s="893">
        <f ca="1">IF(L477&gt;0,N477*100/L477,0)</f>
        <v>0</v>
      </c>
      <c r="P477" s="893">
        <f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>IF(L478&gt;0,N478*100/L478,0)</f>
        <v>0</v>
      </c>
      <c r="P478" s="899">
        <f>IF(M478&gt;0,N478*100/M478,0)</f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IFERROR(__xludf.DUMMYFUNCTION("IMPORTRANGE(""https://docs.google.com/spreadsheets/d/1QqKyyYR6Q21VydFLVH3TRQUabQu_ym0Zz7PgGX0-kHA/edit?usp=sharing"",""แผน!FV47"")"),0)</f>
        <v>0</v>
      </c>
      <c r="M479" s="899">
        <v>0</v>
      </c>
      <c r="N479" s="899">
        <v>0</v>
      </c>
      <c r="O479" s="899">
        <f ca="1">IF(L479&gt;0,N479*100/L479,0)</f>
        <v>0</v>
      </c>
      <c r="P479" s="899">
        <f>IF(M479&gt;0,N479*100/M479,0)</f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IFERROR(__xludf.DUMMYFUNCTION("IMPORTRANGE(""https://docs.google.com/spreadsheets/d/1QqKyyYR6Q21VydFLVH3TRQUabQu_ym0Zz7PgGX0-kHA/edit?usp=sharing"",""แผน!FY47"")"),450)</f>
        <v>450</v>
      </c>
      <c r="J483" s="1024">
        <v>450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45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IFERROR(__xludf.DUMMYFUNCTION("IMPORTRANGE(""https://docs.google.com/spreadsheets/d/1QqKyyYR6Q21VydFLVH3TRQUabQu_ym0Zz7PgGX0-kHA/edit?usp=sharing"",""แผน!FZ47"")"),45)</f>
        <v>45</v>
      </c>
      <c r="J485" s="1024">
        <v>45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IFERROR(__xludf.DUMMYFUNCTION("IMPORTRANGE(""https://docs.google.com/spreadsheets/d/1QqKyyYR6Q21VydFLVH3TRQUabQu_ym0Zz7PgGX0-kHA/edit?usp=sharing"",""แผน!GA47"")"),50)</f>
        <v>50</v>
      </c>
      <c r="J487" s="1024">
        <v>50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5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IFERROR(__xludf.DUMMYFUNCTION("IMPORTRANGE(""https://docs.google.com/spreadsheets/d/1QqKyyYR6Q21VydFLVH3TRQUabQu_ym0Zz7PgGX0-kHA/edit?usp=sharing"",""แผน!GB47"")"),5)</f>
        <v>5</v>
      </c>
      <c r="J489" s="1024">
        <v>5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IFERROR(__xludf.DUMMYFUNCTION("IMPORTRANGE(""https://docs.google.com/spreadsheets/d/1QqKyyYR6Q21VydFLVH3TRQUabQu_ym0Zz7PgGX0-kHA/edit?usp=sharing"",""แผน!GC47"")"),1)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IFERROR(__xludf.DUMMYFUNCTION("IMPORTRANGE(""https://docs.google.com/spreadsheets/d/1QqKyyYR6Q21VydFLVH3TRQUabQu_ym0Zz7PgGX0-kHA/edit?usp=sharing"",""แผน!FY47"")"),450)</f>
        <v>450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IFERROR(__xludf.DUMMYFUNCTION("IMPORTRANGE(""https://docs.google.com/spreadsheets/d/1QqKyyYR6Q21VydFLVH3TRQUabQu_ym0Zz7PgGX0-kHA/edit?usp=sharing"",""แผน!GA47"")"),50)</f>
        <v>50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>J516</f>
        <v>0</v>
      </c>
      <c r="K500" s="1354">
        <f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>J517</f>
        <v>0</v>
      </c>
      <c r="K501" s="1361">
        <f>IF(I501&gt;0,J501*100/I501,0)</f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>L503+L504</f>
        <v>0</v>
      </c>
      <c r="M502" s="1364">
        <f>M503+M504</f>
        <v>0</v>
      </c>
      <c r="N502" s="1364">
        <f>N503+N504</f>
        <v>0</v>
      </c>
      <c r="O502" s="1364">
        <f>IF(L502&gt;0,N502*100/L502,0)</f>
        <v>0</v>
      </c>
      <c r="P502" s="1364">
        <f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>L506+L513</f>
        <v>0</v>
      </c>
      <c r="M503" s="899">
        <f>M506+M513</f>
        <v>0</v>
      </c>
      <c r="N503" s="899">
        <f>N506+N513</f>
        <v>0</v>
      </c>
      <c r="O503" s="899">
        <f>IF(L503&gt;0,N503*100/L503,0)</f>
        <v>0</v>
      </c>
      <c r="P503" s="899">
        <f>IF(M503&gt;0,N503*100/M503,0)</f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>L507+L514</f>
        <v>0</v>
      </c>
      <c r="M504" s="899">
        <f>M507+M514</f>
        <v>0</v>
      </c>
      <c r="N504" s="899">
        <f>N507+N514</f>
        <v>0</v>
      </c>
      <c r="O504" s="899">
        <f>IF(L504&gt;0,N504*100/L504,0)</f>
        <v>0</v>
      </c>
      <c r="P504" s="899">
        <f>IF(M504&gt;0,N504*100/M504,0)</f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>L506+L507</f>
        <v>0</v>
      </c>
      <c r="M505" s="899">
        <f>M506+M507</f>
        <v>0</v>
      </c>
      <c r="N505" s="899">
        <f>N506+N507</f>
        <v>0</v>
      </c>
      <c r="O505" s="899">
        <f>IF(L505&gt;0,N505*100/L505,0)</f>
        <v>0</v>
      </c>
      <c r="P505" s="899">
        <f>IF(M505&gt;0,N505*100/M505,0)</f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>IF(L506&gt;0,N506*100/L506,0)</f>
        <v>0</v>
      </c>
      <c r="P506" s="899">
        <f>IF(M506&gt;0,N506*100/M506,0)</f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>IF(L507&gt;0,N507*100/L507,0)</f>
        <v>0</v>
      </c>
      <c r="P507" s="899">
        <f>IF(M507&gt;0,N507*100/M507,0)</f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>L513+L514</f>
        <v>0</v>
      </c>
      <c r="M512" s="899">
        <f>M513+M514</f>
        <v>0</v>
      </c>
      <c r="N512" s="899">
        <f>N513+N514</f>
        <v>0</v>
      </c>
      <c r="O512" s="899">
        <f>IF(L512&gt;0,N512*100/L512,0)</f>
        <v>0</v>
      </c>
      <c r="P512" s="899">
        <f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>IF(L513&gt;0,N513*100/L513,0)</f>
        <v>0</v>
      </c>
      <c r="P513" s="899">
        <f>IF(M513&gt;0,N513*100/M513,0)</f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>IF(L514&gt;0,N514*100/L514,0)</f>
        <v>0</v>
      </c>
      <c r="P514" s="899">
        <f>IF(M514&gt;0,N514*100/M514,0)</f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>IF(I517&gt;0,J517*100/I517,0)</f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ca="1">I537</f>
        <v>0</v>
      </c>
      <c r="J522" s="1389">
        <f ca="1">J537</f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ca="1">L524+L525</f>
        <v>0</v>
      </c>
      <c r="M523" s="1032">
        <f>M524+M525</f>
        <v>0</v>
      </c>
      <c r="N523" s="1032">
        <f>N524+N525</f>
        <v>0</v>
      </c>
      <c r="O523" s="1032">
        <f ca="1">IF(L523&gt;0,N523*100/L523,0)</f>
        <v>0</v>
      </c>
      <c r="P523" s="1032">
        <f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>L527+L534</f>
        <v>0</v>
      </c>
      <c r="M524" s="899">
        <f>M527+M534</f>
        <v>0</v>
      </c>
      <c r="N524" s="899">
        <f>N527+N534</f>
        <v>0</v>
      </c>
      <c r="O524" s="899">
        <f>IF(L524&gt;0,N524*100/L524,0)</f>
        <v>0</v>
      </c>
      <c r="P524" s="899">
        <f>IF(M524&gt;0,N524*100/M524,0)</f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ca="1">L528+L535</f>
        <v>0</v>
      </c>
      <c r="M525" s="899">
        <f>M528+M535</f>
        <v>0</v>
      </c>
      <c r="N525" s="899">
        <f>N528+N535</f>
        <v>0</v>
      </c>
      <c r="O525" s="899">
        <f ca="1">IF(L525&gt;0,N525*100/L525,0)</f>
        <v>0</v>
      </c>
      <c r="P525" s="899">
        <f>IF(M525&gt;0,N525*100/M525,0)</f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ca="1">L527+L528</f>
        <v>0</v>
      </c>
      <c r="M526" s="893">
        <f>M527+M528</f>
        <v>0</v>
      </c>
      <c r="N526" s="893">
        <f>N527+N528</f>
        <v>0</v>
      </c>
      <c r="O526" s="893">
        <f ca="1">IF(L526&gt;0,N526*100/L526,0)</f>
        <v>0</v>
      </c>
      <c r="P526" s="893">
        <f>IF(M526&gt;0,N526*100/M526,0)</f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>IF(L527&gt;0,N527*100/L527,0)</f>
        <v>0</v>
      </c>
      <c r="P527" s="899">
        <f>IF(M527&gt;0,N527*100/M527,0)</f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IFERROR(__xludf.DUMMYFUNCTION("IMPORTRANGE(""https://docs.google.com/spreadsheets/d/1QqKyyYR6Q21VydFLVH3TRQUabQu_ym0Zz7PgGX0-kHA/edit?usp=sharing"",""แผน!GQ47"")"),0)</f>
        <v>0</v>
      </c>
      <c r="M528" s="899">
        <v>0</v>
      </c>
      <c r="N528" s="899">
        <f>N529+N530+N531+N532</f>
        <v>0</v>
      </c>
      <c r="O528" s="899">
        <f ca="1">IF(L528&gt;0,N528*100/L528,0)</f>
        <v>0</v>
      </c>
      <c r="P528" s="899">
        <f>IF(M528&gt;0,N528*100/M528,0)</f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ca="1">L534+L535</f>
        <v>0</v>
      </c>
      <c r="M533" s="893">
        <f>M534+M535</f>
        <v>0</v>
      </c>
      <c r="N533" s="893">
        <f>N534+N535</f>
        <v>0</v>
      </c>
      <c r="O533" s="893">
        <f ca="1">IF(L533&gt;0,N533*100/L533,0)</f>
        <v>0</v>
      </c>
      <c r="P533" s="893">
        <f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>IF(L534&gt;0,N534*100/L534,0)</f>
        <v>0</v>
      </c>
      <c r="P534" s="899">
        <f>IF(M534&gt;0,N534*100/M534,0)</f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IFERROR(__xludf.DUMMYFUNCTION("IMPORTRANGE(""https://docs.google.com/spreadsheets/d/1QqKyyYR6Q21VydFLVH3TRQUabQu_ym0Zz7PgGX0-kHA/edit?usp=sharing"",""แผน!GT47"")"),0)</f>
        <v>0</v>
      </c>
      <c r="M535" s="899">
        <v>0</v>
      </c>
      <c r="N535" s="899">
        <v>0</v>
      </c>
      <c r="O535" s="899">
        <f ca="1">IF(L535&gt;0,N535*100/L535,0)</f>
        <v>0</v>
      </c>
      <c r="P535" s="899">
        <f>IF(M535&gt;0,N535*100/M535,0)</f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IFERROR(__xludf.DUMMYFUNCTION("IMPORTRANGE(""https://docs.google.com/spreadsheets/d/1QqKyyYR6Q21VydFLVH3TRQUabQu_ym0Zz7PgGX0-kHA/edit?usp=sharing"",""แผน!GU47"")"),0)</f>
        <v>0</v>
      </c>
      <c r="J537" s="1031">
        <f ca="1">IF(AND(J538=I538,J539=I539,J540=I540,J541=I541),I537,0)</f>
        <v>0</v>
      </c>
      <c r="K537" s="893">
        <f ca="1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IFERROR(__xludf.DUMMYFUNCTION("IMPORTRANGE(""https://docs.google.com/spreadsheets/d/1QqKyyYR6Q21VydFLVH3TRQUabQu_ym0Zz7PgGX0-kHA/edit?usp=sharing"",""แผน!GV47"")"),0)</f>
        <v>0</v>
      </c>
      <c r="J538" s="1024">
        <v>0</v>
      </c>
      <c r="K538" s="893">
        <f ca="1">IF(I538&gt;0,J538*100/I538,0)</f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IFERROR(__xludf.DUMMYFUNCTION("IMPORTRANGE(""https://docs.google.com/spreadsheets/d/1QqKyyYR6Q21VydFLVH3TRQUabQu_ym0Zz7PgGX0-kHA/edit?usp=sharing"",""แผน!GW47"")"),0)</f>
        <v>0</v>
      </c>
      <c r="J539" s="1024">
        <v>0</v>
      </c>
      <c r="K539" s="893">
        <f ca="1">IF(I539&gt;0,J539*100/I539,0)</f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IFERROR(__xludf.DUMMYFUNCTION("IMPORTRANGE(""https://docs.google.com/spreadsheets/d/1QqKyyYR6Q21VydFLVH3TRQUabQu_ym0Zz7PgGX0-kHA/edit?usp=sharing"",""แผน!GX47"")"),0)</f>
        <v>0</v>
      </c>
      <c r="J540" s="1024">
        <v>0</v>
      </c>
      <c r="K540" s="893">
        <f ca="1">IF(I540&gt;0,J540*100/I540,0)</f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IFERROR(__xludf.DUMMYFUNCTION("IMPORTRANGE(""https://docs.google.com/spreadsheets/d/1QqKyyYR6Q21VydFLVH3TRQUabQu_ym0Zz7PgGX0-kHA/edit?usp=sharing"",""แผน!GY47"")"),0)</f>
        <v>0</v>
      </c>
      <c r="J541" s="1024">
        <v>0</v>
      </c>
      <c r="K541" s="893">
        <f ca="1">IF(I541&gt;0,J541*100/I541,0)</f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IFERROR(__xludf.DUMMYFUNCTION("IMPORTRANGE(""https://docs.google.com/spreadsheets/d/1QqKyyYR6Q21VydFLVH3TRQUabQu_ym0Zz7PgGX0-kHA/edit?usp=sharing"",""แผน!GZ47"")"),0)</f>
        <v>0</v>
      </c>
      <c r="J542" s="1024">
        <v>0</v>
      </c>
      <c r="K542" s="893">
        <f ca="1">IF(I542&gt;0,J542*100/I542,0)</f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ca="1">I559</f>
        <v>3345</v>
      </c>
      <c r="J543" s="1396">
        <f>J559</f>
        <v>3329</v>
      </c>
      <c r="K543" s="1397">
        <f ca="1">IF(I543&gt;0,J543*100/I543,0)</f>
        <v>99.521674140508225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ca="1">L545+L546</f>
        <v>361311</v>
      </c>
      <c r="M544" s="1004">
        <f ca="1">M545+M546</f>
        <v>361311</v>
      </c>
      <c r="N544" s="1004">
        <f>N545+N546</f>
        <v>268293</v>
      </c>
      <c r="O544" s="1004">
        <f ca="1">IF(L544&gt;0,N544*100/L544,0)</f>
        <v>74.25541984606059</v>
      </c>
      <c r="P544" s="1004">
        <f ca="1">IF(M544&gt;0,N544*100/M544,0)</f>
        <v>74.25541984606059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>L548+L556</f>
        <v>0</v>
      </c>
      <c r="M545" s="899">
        <f>M548+M555</f>
        <v>0</v>
      </c>
      <c r="N545" s="899">
        <f>N548+N555</f>
        <v>0</v>
      </c>
      <c r="O545" s="899">
        <f>IF(L545&gt;0,N545*100/L545,0)</f>
        <v>0</v>
      </c>
      <c r="P545" s="899">
        <f>IF(M545&gt;0,N545*100/M545,0)</f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ca="1">L549+L557</f>
        <v>361311</v>
      </c>
      <c r="M546" s="899">
        <f ca="1">M549+M556</f>
        <v>361311</v>
      </c>
      <c r="N546" s="899">
        <f>N549+N556</f>
        <v>268293</v>
      </c>
      <c r="O546" s="899">
        <f ca="1">IF(L546&gt;0,N546*100/L546,0)</f>
        <v>74.25541984606059</v>
      </c>
      <c r="P546" s="899">
        <f ca="1">IF(M546&gt;0,N546*100/M546,0)</f>
        <v>74.25541984606059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ca="1">L548+L549</f>
        <v>361311</v>
      </c>
      <c r="M547" s="893">
        <f ca="1">M548+M549</f>
        <v>361311</v>
      </c>
      <c r="N547" s="893">
        <f>N548+N549</f>
        <v>268293</v>
      </c>
      <c r="O547" s="893">
        <f ca="1">IF(L547&gt;0,N547*100/L547,0)</f>
        <v>74.25541984606059</v>
      </c>
      <c r="P547" s="893">
        <f ca="1">IF(M547&gt;0,N547*100/M547,0)</f>
        <v>74.25541984606059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>IF(L548&gt;0,N548*100/L548,0)</f>
        <v>0</v>
      </c>
      <c r="P548" s="899">
        <f>IF(M548&gt;0,N548*100/M548,0)</f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IFERROR(__xludf.DUMMYFUNCTION("IMPORTRANGE(""https://docs.google.com/spreadsheets/d/1QqKyyYR6Q21VydFLVH3TRQUabQu_ym0Zz7PgGX0-kHA/edit?usp=sharing"",""แผน!HB47"")"),361311)</f>
        <v>361311</v>
      </c>
      <c r="M549" s="899">
        <f ca="1">L549</f>
        <v>361311</v>
      </c>
      <c r="N549" s="899">
        <f>N550+N551+N552+N553+N554</f>
        <v>268293</v>
      </c>
      <c r="O549" s="899">
        <f ca="1">IF(L549&gt;0,N549*100/L549,0)</f>
        <v>74.25541984606059</v>
      </c>
      <c r="P549" s="899">
        <f ca="1">IF(M549&gt;0,N549*100/M549,0)</f>
        <v>74.25541984606059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203293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ca="1">L556+L557</f>
        <v>0</v>
      </c>
      <c r="M555" s="893">
        <f>M556+M557</f>
        <v>0</v>
      </c>
      <c r="N555" s="893">
        <f>N556+N557</f>
        <v>0</v>
      </c>
      <c r="O555" s="893">
        <f ca="1">IF(L555&gt;0,N555*100/L555,0)</f>
        <v>0</v>
      </c>
      <c r="P555" s="893">
        <f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>IF(L556&gt;0,N556*100/L556,0)</f>
        <v>0</v>
      </c>
      <c r="P556" s="899">
        <f>IF(M556&gt;0,N556*100/M556,0)</f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IFERROR(__xludf.DUMMYFUNCTION("IMPORTRANGE(""https://docs.google.com/spreadsheets/d/1QqKyyYR6Q21VydFLVH3TRQUabQu_ym0Zz7PgGX0-kHA/edit?usp=sharing"",""แผน!HF47"")"),0)</f>
        <v>0</v>
      </c>
      <c r="M557" s="899">
        <v>0</v>
      </c>
      <c r="N557" s="899">
        <v>0</v>
      </c>
      <c r="O557" s="899">
        <f ca="1">IF(L557&gt;0,N557*100/L557,0)</f>
        <v>0</v>
      </c>
      <c r="P557" s="899">
        <f>IF(M557&gt;0,N557*100/M557,0)</f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ca="1">I576</f>
        <v>3345</v>
      </c>
      <c r="J559" s="1389">
        <f>J576</f>
        <v>3329</v>
      </c>
      <c r="K559" s="1390">
        <f ca="1">IF(I559&gt;0,J559*100/I559,0)</f>
        <v>99.521674140508225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IFERROR(__xludf.DUMMYFUNCTION("IMPORTRANGE(""https://docs.google.com/spreadsheets/d/1QqKyyYR6Q21VydFLVH3TRQUabQu_ym0Zz7PgGX0-kHA/edit?usp=sharing"",""แผน!HH47"")"),3345)</f>
        <v>3345</v>
      </c>
      <c r="J560" s="1030">
        <f>J562+J564+J566</f>
        <v>3528.72</v>
      </c>
      <c r="K560" s="1174">
        <f ca="1">IF(I560&gt;0,J560*100/I560,0)</f>
        <v>105.49237668161435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IFERROR(__xludf.DUMMYFUNCTION("IMPORTRANGE(""https://docs.google.com/spreadsheets/d/1QqKyyYR6Q21VydFLVH3TRQUabQu_ym0Zz7PgGX0-kHA/edit?usp=sharing"",""แผน!HG47"")"),1178)</f>
        <v>1178</v>
      </c>
      <c r="J561" s="1030">
        <f>J563+J565+J567</f>
        <v>1220</v>
      </c>
      <c r="K561" s="1174">
        <f ca="1">IF(I561&gt;0,J561*100/I561,0)</f>
        <v>103.56536502546689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3138.22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1122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304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80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86.5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18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IFERROR(__xludf.DUMMYFUNCTION("IMPORTRANGE(""https://docs.google.com/spreadsheets/d/1QqKyyYR6Q21VydFLVH3TRQUabQu_ym0Zz7PgGX0-kHA/edit?usp=sharing"",""แผน!HH47"")"),3345)</f>
        <v>3345</v>
      </c>
      <c r="J568" s="1031">
        <f>J570+J572+J574</f>
        <v>3345.5</v>
      </c>
      <c r="K568" s="1174">
        <f ca="1">IF(I568&gt;0,J568*100/I568,0)</f>
        <v>100.01494768310911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IFERROR(__xludf.DUMMYFUNCTION("IMPORTRANGE(""https://docs.google.com/spreadsheets/d/1QqKyyYR6Q21VydFLVH3TRQUabQu_ym0Zz7PgGX0-kHA/edit?usp=sharing"",""แผน!HG47"")"),1178)</f>
        <v>1178</v>
      </c>
      <c r="J569" s="1031">
        <f>J571+J573+J575</f>
        <v>1178</v>
      </c>
      <c r="K569" s="1174">
        <f ca="1">IF(I569&gt;0,J569*100/I569,0)</f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3025.6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1088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233.4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72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86.5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18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IFERROR(__xludf.DUMMYFUNCTION("IMPORTRANGE(""https://docs.google.com/spreadsheets/d/1QqKyyYR6Q21VydFLVH3TRQUabQu_ym0Zz7PgGX0-kHA/edit?usp=sharing"",""แผน!HH47"")"),3345)</f>
        <v>3345</v>
      </c>
      <c r="J576" s="1031">
        <f>J578+J580+J582+J588+J590</f>
        <v>3329</v>
      </c>
      <c r="K576" s="1174">
        <f ca="1">IF(I576&gt;0,J576*100/I576,0)</f>
        <v>99.521674140508225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IFERROR(__xludf.DUMMYFUNCTION("IMPORTRANGE(""https://docs.google.com/spreadsheets/d/1QqKyyYR6Q21VydFLVH3TRQUabQu_ym0Zz7PgGX0-kHA/edit?usp=sharing"",""แผน!HG47"")"),1178)</f>
        <v>1178</v>
      </c>
      <c r="J577" s="1031">
        <f>J579+J581+J583+J589+J591</f>
        <v>1176</v>
      </c>
      <c r="K577" s="1174">
        <f ca="1">IF(I577&gt;0,J577*100/I577,0)</f>
        <v>99.830220713073004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3148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1129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13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3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>J584+J586</f>
        <v>70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>J585+J587</f>
        <v>16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70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16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98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28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ca="1">I593</f>
        <v>5126.55</v>
      </c>
      <c r="J592" s="1389">
        <f>J593</f>
        <v>2387</v>
      </c>
      <c r="K592" s="1390">
        <f ca="1">IF(I592&gt;0,J592*100/I592,0)</f>
        <v>46.561527733075849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IFERROR(__xludf.DUMMYFUNCTION("IMPORTRANGE(""https://docs.google.com/spreadsheets/d/1QqKyyYR6Q21VydFLVH3TRQUabQu_ym0Zz7PgGX0-kHA/edit?usp=sharing"",""แผน!HJ47"")"),5126.55)</f>
        <v>5126.55</v>
      </c>
      <c r="J593" s="1030">
        <f>J595+J603+J609</f>
        <v>2387</v>
      </c>
      <c r="K593" s="1174">
        <f ca="1">IF(I593&gt;0,J593*100/I593,0)</f>
        <v>46.561527733075849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IFERROR(__xludf.DUMMYFUNCTION("IMPORTRANGE(""https://docs.google.com/spreadsheets/d/1QqKyyYR6Q21VydFLVH3TRQUabQu_ym0Zz7PgGX0-kHA/edit?usp=sharing"",""แผน!HI47"")"),350)</f>
        <v>350</v>
      </c>
      <c r="J594" s="1030">
        <f>J596+J604+J610</f>
        <v>160</v>
      </c>
      <c r="K594" s="1174">
        <f ca="1">IF(I594&gt;0,J594*100/I594,0)</f>
        <v>45.714285714285715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>J597+J599</f>
        <v>1978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>J598+J600</f>
        <v>130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936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76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1042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54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149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10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>J605+J607</f>
        <v>323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>J605+J608</f>
        <v>21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4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1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319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17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86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9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>J614+J616</f>
        <v>0</v>
      </c>
      <c r="K612" s="1421">
        <f>IF(I612&gt;0,J612*100/I612,0)</f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>J615+J617</f>
        <v>0</v>
      </c>
      <c r="K613" s="1421">
        <f>IF(I613&gt;0,J613*100/I613,0)</f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IFERROR(__xludf.DUMMYFUNCTION("IMPORTRANGE(""https://docs.google.com/spreadsheets/d/1QqKyyYR6Q21VydFLVH3TRQUabQu_ym0Zz7PgGX0-kHA/edit?usp=sharing"",""แผน!HL47"")"),1)</f>
        <v>1</v>
      </c>
      <c r="J620" s="1429">
        <f>J622+J624+J626</f>
        <v>0</v>
      </c>
      <c r="K620" s="1430">
        <f ca="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IFERROR(__xludf.DUMMYFUNCTION("IMPORTRANGE(""https://docs.google.com/spreadsheets/d/1QqKyyYR6Q21VydFLVH3TRQUabQu_ym0Zz7PgGX0-kHA/edit?usp=sharing"",""แผน!HK47"")"),1)</f>
        <v>1</v>
      </c>
      <c r="J621" s="1429">
        <f>J623+J625+J627</f>
        <v>0</v>
      </c>
      <c r="K621" s="1430">
        <f ca="1">IF(I621&gt;0,J621*100/I621,0)</f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ca="1">I651</f>
        <v>230</v>
      </c>
      <c r="J628" s="1438">
        <f ca="1">J651</f>
        <v>0</v>
      </c>
      <c r="K628" s="1439">
        <f ca="1">IF(I628&gt;0,J628*100/I628,0)</f>
        <v>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ca="1">L630+L631</f>
        <v>423310</v>
      </c>
      <c r="M629" s="1032">
        <f ca="1">M630+M631</f>
        <v>423310</v>
      </c>
      <c r="N629" s="1032">
        <f>N630+N631</f>
        <v>175043.38</v>
      </c>
      <c r="O629" s="1032">
        <f ca="1">IF(L629&gt;0,N629*100/L629,0)</f>
        <v>41.351109116250505</v>
      </c>
      <c r="P629" s="1032">
        <f ca="1">IF(M629&gt;0,N629*100/M629,0)</f>
        <v>41.351109116250505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>L633+L640</f>
        <v>0</v>
      </c>
      <c r="M630" s="899">
        <f>M633+M640</f>
        <v>0</v>
      </c>
      <c r="N630" s="899">
        <f>N633+N640</f>
        <v>0</v>
      </c>
      <c r="O630" s="899">
        <f>IF(L630&gt;0,N630*100/L630,0)</f>
        <v>0</v>
      </c>
      <c r="P630" s="899">
        <f>IF(M630&gt;0,N630*100/M630,0)</f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ca="1">L634+L641</f>
        <v>423310</v>
      </c>
      <c r="M631" s="899">
        <f ca="1">M634+M641</f>
        <v>423310</v>
      </c>
      <c r="N631" s="899">
        <f>N634+N641</f>
        <v>175043.38</v>
      </c>
      <c r="O631" s="899">
        <f ca="1">IF(L631&gt;0,N631*100/L631,0)</f>
        <v>41.351109116250505</v>
      </c>
      <c r="P631" s="899">
        <f ca="1">IF(M631&gt;0,N631*100/M631,0)</f>
        <v>41.351109116250505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ca="1">L633+L634</f>
        <v>423310</v>
      </c>
      <c r="M632" s="893">
        <f ca="1">M633+M634</f>
        <v>423310</v>
      </c>
      <c r="N632" s="893">
        <f>N633+N634</f>
        <v>175043.38</v>
      </c>
      <c r="O632" s="893">
        <f ca="1">IF(L632&gt;0,N632*100/L632,0)</f>
        <v>41.351109116250505</v>
      </c>
      <c r="P632" s="893">
        <f ca="1">IF(M632&gt;0,N632*100/M632,0)</f>
        <v>41.351109116250505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>IF(L633&gt;0,N633*100/L633,0)</f>
        <v>0</v>
      </c>
      <c r="P633" s="899">
        <f>IF(M633&gt;0,N633*100/M633,0)</f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IFERROR(__xludf.DUMMYFUNCTION("IMPORTRANGE(""https://docs.google.com/spreadsheets/d/1QqKyyYR6Q21VydFLVH3TRQUabQu_ym0Zz7PgGX0-kHA/edit?usp=sharing"",""แผน!HN47"")"),423310)</f>
        <v>423310</v>
      </c>
      <c r="M634" s="899">
        <f ca="1">L634</f>
        <v>423310</v>
      </c>
      <c r="N634" s="899">
        <f>N635+N636+N637+N638</f>
        <v>175043.38</v>
      </c>
      <c r="O634" s="899">
        <f ca="1">IF(L634&gt;0,N634*100/L634,0)</f>
        <v>41.351109116250505</v>
      </c>
      <c r="P634" s="899">
        <f ca="1">IF(M634&gt;0,N634*100/M634,0)</f>
        <v>41.351109116250505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65000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110043.38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ca="1">L640+L641</f>
        <v>0</v>
      </c>
      <c r="M639" s="893">
        <f>M640+M641</f>
        <v>0</v>
      </c>
      <c r="N639" s="893">
        <f>N640+N641</f>
        <v>0</v>
      </c>
      <c r="O639" s="893">
        <f ca="1">IF(L639&gt;0,N639*100/L639,0)</f>
        <v>0</v>
      </c>
      <c r="P639" s="893">
        <f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>IF(L640&gt;0,N640*100/L640,0)</f>
        <v>0</v>
      </c>
      <c r="P640" s="899">
        <f>IF(M640&gt;0,N640*100/M640,0)</f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IFERROR(__xludf.DUMMYFUNCTION("IMPORTRANGE(""https://docs.google.com/spreadsheets/d/1QqKyyYR6Q21VydFLVH3TRQUabQu_ym0Zz7PgGX0-kHA/edit?usp=sharing"",""แผน!HQ47"")"),0)</f>
        <v>0</v>
      </c>
      <c r="M641" s="899">
        <v>0</v>
      </c>
      <c r="N641" s="899">
        <v>0</v>
      </c>
      <c r="O641" s="899">
        <f ca="1">IF(L641&gt;0,N641*100/L641,0)</f>
        <v>0</v>
      </c>
      <c r="P641" s="899">
        <f>IF(M641&gt;0,N641*100/M641,0)</f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IFERROR(__xludf.DUMMYFUNCTION("IMPORTRANGE(""https://docs.google.com/spreadsheets/d/1QqKyyYR6Q21VydFLVH3TRQUabQu_ym0Zz7PgGX0-kHA/edit?usp=sharing"",""แผน!HR47"")"),0)</f>
        <v>0</v>
      </c>
      <c r="J643" s="1024">
        <v>0</v>
      </c>
      <c r="K643" s="1010">
        <f ca="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IFERROR(__xludf.DUMMYFUNCTION("IMPORTRANGE(""https://docs.google.com/spreadsheets/d/1QqKyyYR6Q21VydFLVH3TRQUabQu_ym0Zz7PgGX0-kHA/edit?usp=sharing"",""แผน!HR47"")"),0)</f>
        <v>0</v>
      </c>
      <c r="J644" s="1024">
        <v>0</v>
      </c>
      <c r="K644" s="1010">
        <f ca="1">IF(I644&gt;0,J644*100/I644,0)</f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IFERROR(__xludf.DUMMYFUNCTION("IMPORTRANGE(""https://docs.google.com/spreadsheets/d/1XWAQStnk-4SwqDmLtmXYiTMKHgktTP8We1SCoS47DrQ/edit?usp=sharing"",""จัดที่ดิน!AS47"")"),119)</f>
        <v>119</v>
      </c>
      <c r="K645" s="1010">
        <f>IF(I645&gt;0,J645*100/I645,0)</f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IFERROR(__xludf.DUMMYFUNCTION("IMPORTRANGE(""https://docs.google.com/spreadsheets/d/1XWAQStnk-4SwqDmLtmXYiTMKHgktTP8We1SCoS47DrQ/edit?usp=sharing"",""จัดที่ดิน!AT47"")"),49.52)</f>
        <v>49.52</v>
      </c>
      <c r="K646" s="893">
        <f>IF(I646&gt;0,J646*100/I646,0)</f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IFERROR(__xludf.DUMMYFUNCTION("IMPORTRANGE(""https://docs.google.com/spreadsheets/d/1QqKyyYR6Q21VydFLVH3TRQUabQu_ym0Zz7PgGX0-kHA/edit?usp=sharing"",""แผน!HS47"")"),230)</f>
        <v>230</v>
      </c>
      <c r="J647" s="892">
        <f ca="1">IFERROR(__xludf.DUMMYFUNCTION("IMPORTRANGE(""https://docs.google.com/spreadsheets/d/1XWAQStnk-4SwqDmLtmXYiTMKHgktTP8We1SCoS47DrQ/edit?usp=sharing"",""จัดที่ดิน!AU47"")"),118)</f>
        <v>118</v>
      </c>
      <c r="K647" s="1010">
        <f ca="1">IF(I647&gt;0,J647*100/I647,0)</f>
        <v>51.304347826086953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IFERROR(__xludf.DUMMYFUNCTION("IMPORTRANGE(""https://docs.google.com/spreadsheets/d/1XWAQStnk-4SwqDmLtmXYiTMKHgktTP8We1SCoS47DrQ/edit?usp=sharing"",""จัดที่ดิน!AV47"")"),49.49)</f>
        <v>49.49</v>
      </c>
      <c r="K648" s="893">
        <f>IF(I648&gt;0,J648*100/I648,0)</f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IFERROR(__xludf.DUMMYFUNCTION("IMPORTRANGE(""https://docs.google.com/spreadsheets/d/1QqKyyYR6Q21VydFLVH3TRQUabQu_ym0Zz7PgGX0-kHA/edit?usp=sharing"",""แผน!HS47"")"),230)</f>
        <v>230</v>
      </c>
      <c r="J649" s="892">
        <f ca="1">IFERROR(__xludf.DUMMYFUNCTION("IMPORTRANGE(""https://docs.google.com/spreadsheets/d/1XWAQStnk-4SwqDmLtmXYiTMKHgktTP8We1SCoS47DrQ/edit?usp=sharing"",""จัดที่ดิน!AW47"")"),60)</f>
        <v>60</v>
      </c>
      <c r="K649" s="1010">
        <f ca="1">IF(I649&gt;0,J649*100/I649,0)</f>
        <v>26.086956521739129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IFERROR(__xludf.DUMMYFUNCTION("IMPORTRANGE(""https://docs.google.com/spreadsheets/d/1XWAQStnk-4SwqDmLtmXYiTMKHgktTP8We1SCoS47DrQ/edit?usp=sharing"",""จัดที่ดิน!AX47"")"),25.73)</f>
        <v>25.73</v>
      </c>
      <c r="K650" s="893">
        <f>IF(I650&gt;0,J650*100/I650,0)</f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IFERROR(__xludf.DUMMYFUNCTION("IMPORTRANGE(""https://docs.google.com/spreadsheets/d/1QqKyyYR6Q21VydFLVH3TRQUabQu_ym0Zz7PgGX0-kHA/edit?usp=sharing"",""แผน!HS47"")"),230)</f>
        <v>230</v>
      </c>
      <c r="J651" s="892">
        <f ca="1">IFERROR(__xludf.DUMMYFUNCTION("IMPORTRANGE(""https://docs.google.com/spreadsheets/d/1XWAQStnk-4SwqDmLtmXYiTMKHgktTP8We1SCoS47DrQ/edit?usp=sharing"",""จัดที่ดิน!AY47"")"),0)</f>
        <v>0</v>
      </c>
      <c r="K651" s="1010">
        <f ca="1">IF(I651&gt;0,J651*100/I651,0)</f>
        <v>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IFERROR(__xludf.DUMMYFUNCTION("IMPORTRANGE(""https://docs.google.com/spreadsheets/d/1XWAQStnk-4SwqDmLtmXYiTMKHgktTP8We1SCoS47DrQ/edit?usp=sharing"",""จัดที่ดิน!AZ47"")"),0)</f>
        <v>0</v>
      </c>
      <c r="K652" s="1251">
        <f>IF(I652&gt;0,J652*100/I652,0)</f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ca="1">I669</f>
        <v>100</v>
      </c>
      <c r="J654" s="1389">
        <f>J669</f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ca="1">L656+L657</f>
        <v>12400</v>
      </c>
      <c r="M655" s="1032">
        <f ca="1">M656+M657</f>
        <v>12400</v>
      </c>
      <c r="N655" s="1032">
        <f>N656+N657</f>
        <v>6340</v>
      </c>
      <c r="O655" s="1032">
        <f ca="1">IF(L655&gt;0,N655*100/L655,0)</f>
        <v>51.12903225806452</v>
      </c>
      <c r="P655" s="1032">
        <f ca="1">IF(M655&gt;0,N655*100/M655,0)</f>
        <v>51.12903225806452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>L659+L666</f>
        <v>0</v>
      </c>
      <c r="M656" s="899">
        <f>M659+M666</f>
        <v>0</v>
      </c>
      <c r="N656" s="899">
        <f>N659+N666</f>
        <v>0</v>
      </c>
      <c r="O656" s="899">
        <f>IF(L656&gt;0,N656*100/L656,0)</f>
        <v>0</v>
      </c>
      <c r="P656" s="899">
        <f>IF(M656&gt;0,N656*100/M656,0)</f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ca="1">L660+L667</f>
        <v>12400</v>
      </c>
      <c r="M657" s="899">
        <f ca="1">M660+M667</f>
        <v>12400</v>
      </c>
      <c r="N657" s="899">
        <f>N660+N667</f>
        <v>6340</v>
      </c>
      <c r="O657" s="899">
        <f ca="1">IF(L657&gt;0,N657*100/L657,0)</f>
        <v>51.12903225806452</v>
      </c>
      <c r="P657" s="899">
        <f ca="1">IF(M657&gt;0,N657*100/M657,0)</f>
        <v>51.12903225806452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ca="1">L659+L660</f>
        <v>12400</v>
      </c>
      <c r="M658" s="893">
        <f ca="1">M659+M660</f>
        <v>12400</v>
      </c>
      <c r="N658" s="893">
        <f>N659+N660</f>
        <v>6340</v>
      </c>
      <c r="O658" s="893">
        <f ca="1">IF(L658&gt;0,N658*100/L658,0)</f>
        <v>51.12903225806452</v>
      </c>
      <c r="P658" s="893">
        <f ca="1">IF(M658&gt;0,N658*100/M658,0)</f>
        <v>51.12903225806452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>IF(L659&gt;0,N659*100/L659,0)</f>
        <v>0</v>
      </c>
      <c r="P659" s="899">
        <f>IF(M659&gt;0,N659*100/M659,0)</f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IFERROR(__xludf.DUMMYFUNCTION("IMPORTRANGE(""https://docs.google.com/spreadsheets/d/1QqKyyYR6Q21VydFLVH3TRQUabQu_ym0Zz7PgGX0-kHA/edit?usp=sharing"",""แผน!HV47"")"),12400)</f>
        <v>12400</v>
      </c>
      <c r="M660" s="899">
        <f ca="1">L660</f>
        <v>12400</v>
      </c>
      <c r="N660" s="899">
        <f>N661+N662+N663+N664</f>
        <v>6340</v>
      </c>
      <c r="O660" s="899">
        <f ca="1">IF(L660&gt;0,N660*100/L660,0)</f>
        <v>51.12903225806452</v>
      </c>
      <c r="P660" s="899">
        <f ca="1">IF(M660&gt;0,N660*100/M660,0)</f>
        <v>51.12903225806452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6340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>L666+L667</f>
        <v>0</v>
      </c>
      <c r="M665" s="893">
        <f>M666+M667</f>
        <v>0</v>
      </c>
      <c r="N665" s="893">
        <f>N666+N667</f>
        <v>0</v>
      </c>
      <c r="O665" s="893">
        <f>IF(L665&gt;0,N665*100/L665,0)</f>
        <v>0</v>
      </c>
      <c r="P665" s="893">
        <f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>IF(L666&gt;0,N666*100/L666,0)</f>
        <v>0</v>
      </c>
      <c r="P666" s="899">
        <f>IF(M666&gt;0,N666*100/M666,0)</f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>IF(L667&gt;0,N667*100/L667,0)</f>
        <v>0</v>
      </c>
      <c r="P667" s="899">
        <f>IF(M667&gt;0,N667*100/M667,0)</f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IFERROR(__xludf.DUMMYFUNCTION("IMPORTRANGE(""https://docs.google.com/spreadsheets/d/1QqKyyYR6Q21VydFLVH3TRQUabQu_ym0Zz7PgGX0-kHA/edit?usp=sharing"",""แผน!IA47"")"),100)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IFERROR(__xludf.DUMMYFUNCTION("IMPORTRANGE(""https://docs.google.com/spreadsheets/d/1QqKyyYR6Q21VydFLVH3TRQUabQu_ym0Zz7PgGX0-kHA/edit?usp=sharing"",""แผน!HZ47"")"),4)</f>
        <v>4</v>
      </c>
      <c r="J670" s="1024">
        <v>4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IFERROR(__xludf.DUMMYFUNCTION("IMPORTRANGE(""https://docs.google.com/spreadsheets/d/1QqKyyYR6Q21VydFLVH3TRQUabQu_ym0Zz7PgGX0-kHA/edit?usp=sharing"",""แผน!HZ47"")"),4)</f>
        <v>4</v>
      </c>
      <c r="J671" s="1024">
        <v>4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ca="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ca="1">IF(I$669&gt;0,J673*100/I$669,0)</f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ca="1">IF(I$669&gt;0,J674*100/I$669,0)</f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ca="1">IF(I$669&gt;0,J675*100/I$669,0)</f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IFERROR(__xludf.DUMMYFUNCTION("IMPORTRANGE(""https://docs.google.com/spreadsheets/d/1QqKyyYR6Q21VydFLVH3TRQUabQu_ym0Zz7PgGX0-kHA/edit?usp=sharing"",""แผน!IB47"")"),0)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ca="1">L686+L687</f>
        <v>6190</v>
      </c>
      <c r="M685" s="1032">
        <f ca="1">M686+M687</f>
        <v>6190</v>
      </c>
      <c r="N685" s="1032">
        <f>N686+N687</f>
        <v>3800</v>
      </c>
      <c r="O685" s="1032">
        <f ca="1">IF(L685&gt;0,N685*100/L685,0)</f>
        <v>61.389337641357031</v>
      </c>
      <c r="P685" s="1032">
        <f ca="1">IF(M685&gt;0,N685*100/M685,0)</f>
        <v>61.389337641357031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>L689+L696</f>
        <v>0</v>
      </c>
      <c r="M686" s="899">
        <f>M689+M696</f>
        <v>0</v>
      </c>
      <c r="N686" s="899">
        <f>N689+N696</f>
        <v>0</v>
      </c>
      <c r="O686" s="899">
        <f>IF(L686&gt;0,N686*100/L686,0)</f>
        <v>0</v>
      </c>
      <c r="P686" s="899">
        <f>IF(M686&gt;0,N686*100/M686,0)</f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ca="1">L690+L697</f>
        <v>6190</v>
      </c>
      <c r="M687" s="899">
        <f ca="1">M690+M697</f>
        <v>6190</v>
      </c>
      <c r="N687" s="899">
        <f>N690+N697</f>
        <v>3800</v>
      </c>
      <c r="O687" s="899">
        <f ca="1">IF(L687&gt;0,N687*100/L687,0)</f>
        <v>61.389337641357031</v>
      </c>
      <c r="P687" s="899">
        <f ca="1">IF(M687&gt;0,N687*100/M687,0)</f>
        <v>61.389337641357031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ca="1">L689+L690</f>
        <v>6190</v>
      </c>
      <c r="M688" s="893">
        <f ca="1">M689+M690</f>
        <v>6190</v>
      </c>
      <c r="N688" s="893">
        <f>N689+N690</f>
        <v>3800</v>
      </c>
      <c r="O688" s="893">
        <f ca="1">IF(L688&gt;0,N688*100/L688,0)</f>
        <v>61.389337641357031</v>
      </c>
      <c r="P688" s="893">
        <f ca="1">IF(M688&gt;0,N688*100/M688,0)</f>
        <v>61.389337641357031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IFERROR(__xludf.DUMMYFUNCTION("IMPORTRANGE(""https://docs.google.com/spreadsheets/d/1QqKyyYR6Q21VydFLVH3TRQUabQu_ym0Zz7PgGX0-kHA/edit?usp=sharing"",""แผน!HW47"")"),6190)</f>
        <v>6190</v>
      </c>
      <c r="M690" s="899">
        <f ca="1">L690</f>
        <v>6190</v>
      </c>
      <c r="N690" s="899">
        <f>N691+N692+N693+N694</f>
        <v>3800</v>
      </c>
      <c r="O690" s="899">
        <f ca="1">IF(L690&gt;0,N690*100/L690,0)</f>
        <v>61.389337641357031</v>
      </c>
      <c r="P690" s="899">
        <f ca="1">IF(M690&gt;0,N690*100/M690,0)</f>
        <v>61.389337641357031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3800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>L696+L697</f>
        <v>0</v>
      </c>
      <c r="M695" s="893">
        <f>M696+M697</f>
        <v>0</v>
      </c>
      <c r="N695" s="893">
        <f>N696+N697</f>
        <v>0</v>
      </c>
      <c r="O695" s="893">
        <f>IF(L695&gt;0,N695*100/L695,0)</f>
        <v>0</v>
      </c>
      <c r="P695" s="893">
        <f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>IF(L696&gt;0,N696*100/L696,0)</f>
        <v>0</v>
      </c>
      <c r="P696" s="899">
        <f>IF(M696&gt;0,N696*100/M696,0)</f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>IF(L697&gt;0,N697*100/L697,0)</f>
        <v>0</v>
      </c>
      <c r="P697" s="899">
        <f>IF(M697&gt;0,N697*100/M697,0)</f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IFERROR(__xludf.DUMMYFUNCTION("IMPORTRANGE(""https://docs.google.com/spreadsheets/d/1QqKyyYR6Q21VydFLVH3TRQUabQu_ym0Zz7PgGX0-kHA/edit?usp=sharing"",""แผน!IC47"")"),0)</f>
        <v>0</v>
      </c>
      <c r="J699" s="892">
        <f ca="1">IFERROR(__xludf.DUMMYFUNCTION("IMPORTRANGE(""https://docs.google.com/spreadsheets/d/1XWAQStnk-4SwqDmLtmXYiTMKHgktTP8We1SCoS47DrQ/edit?usp=sharing"",""จัดที่ดิน!BB47"")"),0)</f>
        <v>0</v>
      </c>
      <c r="K699" s="893">
        <f ca="1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IFERROR(__xludf.DUMMYFUNCTION("IMPORTRANGE(""https://docs.google.com/spreadsheets/d/1QqKyyYR6Q21VydFLVH3TRQUabQu_ym0Zz7PgGX0-kHA/edit?usp=sharing"",""แผน!ID47"")"),0)</f>
        <v>0</v>
      </c>
      <c r="J700" s="892">
        <f ca="1">IFERROR(__xludf.DUMMYFUNCTION("IMPORTRANGE(""https://docs.google.com/spreadsheets/d/1XWAQStnk-4SwqDmLtmXYiTMKHgktTP8We1SCoS47DrQ/edit?usp=sharing"",""จัดที่ดิน!BD47"")"),0)</f>
        <v>0</v>
      </c>
      <c r="K700" s="893">
        <f ca="1">IF(I700&gt;0,J700*100/I700,0)</f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IFERROR(__xludf.DUMMYFUNCTION("IMPORTRANGE(""https://docs.google.com/spreadsheets/d/1QqKyyYR6Q21VydFLVH3TRQUabQu_ym0Zz7PgGX0-kHA/edit?usp=sharing"",""แผน!IE47"")"),20)</f>
        <v>20</v>
      </c>
      <c r="J701" s="1031">
        <f>J704+J707</f>
        <v>48.95</v>
      </c>
      <c r="K701" s="1032">
        <f ca="1">IF(I701&gt;0,J701*100/I701,0)</f>
        <v>244.75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2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3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IFERROR(__xludf.DUMMYFUNCTION("IMPORTRANGE(""https://docs.google.com/spreadsheets/d/1QqKyyYR6Q21VydFLVH3TRQUabQu_ym0Zz7PgGX0-kHA/edit?usp=sharing"",""แผน!IF47"")"),20)</f>
        <v>20</v>
      </c>
      <c r="J704" s="1024">
        <v>48.95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IFERROR(__xludf.DUMMYFUNCTION("IMPORTRANGE(""https://docs.google.com/spreadsheets/d/1QqKyyYR6Q21VydFLVH3TRQUabQu_ym0Zz7PgGX0-kHA/edit?usp=sharing"",""แผน!IG47"")"),0)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IFERROR(__xludf.DUMMYFUNCTION("IMPORTRANGE(""https://docs.google.com/spreadsheets/d/1QqKyyYR6Q21VydFLVH3TRQUabQu_ym0Zz7PgGX0-kHA/edit?usp=sharing"",""แผน!IH47"")"),0)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IFERROR(__xludf.DUMMYFUNCTION("IMPORTRANGE(""https://docs.google.com/spreadsheets/d/1XWAQStnk-4SwqDmLtmXYiTMKHgktTP8We1SCoS47DrQ/edit?usp=sharing"",""จัดที่ดิน!BF47"")"),0)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IFERROR(__xludf.DUMMYFUNCTION("IMPORTRANGE(""https://docs.google.com/spreadsheets/d/1XWAQStnk-4SwqDmLtmXYiTMKHgktTP8We1SCoS47DrQ/edit?usp=sharing"",""จัดที่ดิน!BG47"")"),0)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IFERROR(__xludf.DUMMYFUNCTION("IMPORTRANGE(""https://docs.google.com/spreadsheets/d/1QqKyyYR6Q21VydFLVH3TRQUabQu_ym0Zz7PgGX0-kHA/edit?usp=sharing"",""แผน!II47"")"),77)</f>
        <v>77</v>
      </c>
      <c r="J720" s="892">
        <f ca="1">IFERROR(__xludf.DUMMYFUNCTION("IMPORTRANGE(""https://docs.google.com/spreadsheets/d/1XWAQStnk-4SwqDmLtmXYiTMKHgktTP8We1SCoS47DrQ/edit?usp=sharing"",""จัดที่ดิน!BH47"")"),0)</f>
        <v>0</v>
      </c>
      <c r="K720" s="893">
        <f ca="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IFERROR(__xludf.DUMMYFUNCTION("IMPORTRANGE(""https://docs.google.com/spreadsheets/d/1QqKyyYR6Q21VydFLVH3TRQUabQu_ym0Zz7PgGX0-kHA/edit?usp=sharing"",""แผน!IJ47"")"),4)</f>
        <v>4</v>
      </c>
      <c r="J721" s="1031">
        <f ca="1">J723+J726</f>
        <v>0</v>
      </c>
      <c r="K721" s="1032">
        <f ca="1">IF(I721&gt;0,J721*100/I721,0)</f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IFERROR(__xludf.DUMMYFUNCTION("IMPORTRANGE(""https://docs.google.com/spreadsheets/d/1QqKyyYR6Q21VydFLVH3TRQUabQu_ym0Zz7PgGX0-kHA/edit?usp=sharing"",""แผน!IK47"")"),40)</f>
        <v>40</v>
      </c>
      <c r="J722" s="1031">
        <f ca="1">J725+J728</f>
        <v>0</v>
      </c>
      <c r="K722" s="1032">
        <f ca="1">IF(I722&gt;0,J722*100/I722,0)</f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IFERROR(__xludf.DUMMYFUNCTION("IMPORTRANGE(""https://docs.google.com/spreadsheets/d/1QqKyyYR6Q21VydFLVH3TRQUabQu_ym0Zz7PgGX0-kHA/edit?usp=sharing"",""แผน!IL47"")"),2)</f>
        <v>2</v>
      </c>
      <c r="J723" s="892">
        <f ca="1">IFERROR(__xludf.DUMMYFUNCTION("IMPORTRANGE(""https://docs.google.com/spreadsheets/d/1XWAQStnk-4SwqDmLtmXYiTMKHgktTP8We1SCoS47DrQ/edit?usp=sharing"",""จัดที่ดิน!BM47"")"),0)</f>
        <v>0</v>
      </c>
      <c r="K723" s="893">
        <f ca="1">IF(I723&gt;0,J723*100/I723,0)</f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IFERROR(__xludf.DUMMYFUNCTION("IMPORTRANGE(""https://docs.google.com/spreadsheets/d/1XWAQStnk-4SwqDmLtmXYiTMKHgktTP8We1SCoS47DrQ/edit?usp=sharing"",""จัดที่ดิน!BN47"")"),0)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IFERROR(__xludf.DUMMYFUNCTION("IMPORTRANGE(""https://docs.google.com/spreadsheets/d/1QqKyyYR6Q21VydFLVH3TRQUabQu_ym0Zz7PgGX0-kHA/edit?usp=sharing"",""แผน!IM47"")"),20)</f>
        <v>20</v>
      </c>
      <c r="J725" s="892">
        <f ca="1">IFERROR(__xludf.DUMMYFUNCTION("IMPORTRANGE(""https://docs.google.com/spreadsheets/d/1XWAQStnk-4SwqDmLtmXYiTMKHgktTP8We1SCoS47DrQ/edit?usp=sharing"",""จัดที่ดิน!BO47"")"),0)</f>
        <v>0</v>
      </c>
      <c r="K725" s="893">
        <f ca="1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IFERROR(__xludf.DUMMYFUNCTION("IMPORTRANGE(""https://docs.google.com/spreadsheets/d/1QqKyyYR6Q21VydFLVH3TRQUabQu_ym0Zz7PgGX0-kHA/edit?usp=sharing"",""แผน!IN47"")"),2)</f>
        <v>2</v>
      </c>
      <c r="J726" s="892">
        <f ca="1">IFERROR(__xludf.DUMMYFUNCTION("IMPORTRANGE(""https://docs.google.com/spreadsheets/d/1XWAQStnk-4SwqDmLtmXYiTMKHgktTP8We1SCoS47DrQ/edit?usp=sharing"",""จัดที่ดิน!BR47"")"),0)</f>
        <v>0</v>
      </c>
      <c r="K726" s="893">
        <f ca="1">IF(I726&gt;0,J726*100/I726,0)</f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IFERROR(__xludf.DUMMYFUNCTION("IMPORTRANGE(""https://docs.google.com/spreadsheets/d/1XWAQStnk-4SwqDmLtmXYiTMKHgktTP8We1SCoS47DrQ/edit?usp=sharing"",""จัดที่ดิน!BS47"")"),0)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IFERROR(__xludf.DUMMYFUNCTION("IMPORTRANGE(""https://docs.google.com/spreadsheets/d/1QqKyyYR6Q21VydFLVH3TRQUabQu_ym0Zz7PgGX0-kHA/edit?usp=sharing"",""แผน!IO47"")"),20)</f>
        <v>20</v>
      </c>
      <c r="J728" s="892">
        <f ca="1">IFERROR(__xludf.DUMMYFUNCTION("IMPORTRANGE(""https://docs.google.com/spreadsheets/d/1XWAQStnk-4SwqDmLtmXYiTMKHgktTP8We1SCoS47DrQ/edit?usp=sharing"",""จัดที่ดิน!BT47"")"),0)</f>
        <v>0</v>
      </c>
      <c r="K728" s="893">
        <f ca="1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IFERROR(__xludf.DUMMYFUNCTION("IMPORTRANGE(""https://docs.google.com/spreadsheets/d/1QqKyyYR6Q21VydFLVH3TRQUabQu_ym0Zz7PgGX0-kHA/edit?usp=sharing"",""แผน!IP47"")"),0)</f>
        <v>0</v>
      </c>
      <c r="J729" s="1031">
        <f>J732+J735</f>
        <v>0</v>
      </c>
      <c r="K729" s="1032">
        <f ca="1">IF(I729&gt;0,J729*100/I729,0)</f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>L738+L739</f>
        <v>0</v>
      </c>
      <c r="M737" s="1364">
        <f>M738+M739</f>
        <v>0</v>
      </c>
      <c r="N737" s="1364">
        <f>N738+N739</f>
        <v>0</v>
      </c>
      <c r="O737" s="1364">
        <f>IF(L737&gt;0,N737*100/L737,0)</f>
        <v>0</v>
      </c>
      <c r="P737" s="1364">
        <f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>L741+L748</f>
        <v>0</v>
      </c>
      <c r="M738" s="899">
        <f>M741+M748</f>
        <v>0</v>
      </c>
      <c r="N738" s="899">
        <f>N741+N748</f>
        <v>0</v>
      </c>
      <c r="O738" s="899">
        <f>IF(L738&gt;0,N738*100/L738,0)</f>
        <v>0</v>
      </c>
      <c r="P738" s="899">
        <f>IF(M738&gt;0,N738*100/M738,0)</f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>L742+L749</f>
        <v>0</v>
      </c>
      <c r="M739" s="899">
        <f>M742+M749</f>
        <v>0</v>
      </c>
      <c r="N739" s="899">
        <f>N742+N749</f>
        <v>0</v>
      </c>
      <c r="O739" s="899">
        <f>IF(L739&gt;0,N739*100/L739,0)</f>
        <v>0</v>
      </c>
      <c r="P739" s="899">
        <f>IF(M739&gt;0,N739*100/M739,0)</f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>L741+L742</f>
        <v>0</v>
      </c>
      <c r="M740" s="1364">
        <f>M741+M742</f>
        <v>0</v>
      </c>
      <c r="N740" s="1364">
        <f>N741+N742</f>
        <v>0</v>
      </c>
      <c r="O740" s="1364">
        <f>IF(L740&gt;0,N740*100/L740,0)</f>
        <v>0</v>
      </c>
      <c r="P740" s="1364">
        <f>IF(M740&gt;0,N740*100/M740,0)</f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>IF(L741&gt;0,N741*100/L741,0)</f>
        <v>0</v>
      </c>
      <c r="P741" s="899">
        <f>IF(M741&gt;0,N741*100/M741,0)</f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>IF(L742&gt;0,N742*100/L742,0)</f>
        <v>0</v>
      </c>
      <c r="P742" s="899">
        <f>IF(M742&gt;0,N742*100/M742,0)</f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>L748+L749</f>
        <v>0</v>
      </c>
      <c r="M747" s="1364">
        <f>M748+M749</f>
        <v>0</v>
      </c>
      <c r="N747" s="1364">
        <f>N748+N749</f>
        <v>0</v>
      </c>
      <c r="O747" s="1364">
        <f>IF(L747&gt;0,N747*100/L747,0)</f>
        <v>0</v>
      </c>
      <c r="P747" s="1364">
        <f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>IF(L748&gt;0,N748*100/L748,0)</f>
        <v>0</v>
      </c>
      <c r="P748" s="899">
        <f>IF(M748&gt;0,N748*100/M748,0)</f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>IF(L749&gt;0,N749*100/L749,0)</f>
        <v>0</v>
      </c>
      <c r="P749" s="899">
        <f>IF(M749&gt;0,N749*100/M749,0)</f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>L755+L756</f>
        <v>0</v>
      </c>
      <c r="M754" s="1364">
        <f>M755+M756</f>
        <v>0</v>
      </c>
      <c r="N754" s="1364">
        <f>N755+N756</f>
        <v>0</v>
      </c>
      <c r="O754" s="1364">
        <f>IF(L754&gt;0,N754*100/L754,0)</f>
        <v>0</v>
      </c>
      <c r="P754" s="1364">
        <f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>L758+L765</f>
        <v>0</v>
      </c>
      <c r="M755" s="899">
        <f>M758+M765</f>
        <v>0</v>
      </c>
      <c r="N755" s="899">
        <f>N758+N765</f>
        <v>0</v>
      </c>
      <c r="O755" s="899">
        <f>IF(L755&gt;0,N755*100/L755,0)</f>
        <v>0</v>
      </c>
      <c r="P755" s="899">
        <f>IF(M755&gt;0,N755*100/M755,0)</f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>L759+L766</f>
        <v>0</v>
      </c>
      <c r="M756" s="899">
        <f>M759+M766</f>
        <v>0</v>
      </c>
      <c r="N756" s="899">
        <f>N759+N766</f>
        <v>0</v>
      </c>
      <c r="O756" s="899">
        <f>IF(L756&gt;0,N756*100/L756,0)</f>
        <v>0</v>
      </c>
      <c r="P756" s="899">
        <f>IF(M756&gt;0,N756*100/M756,0)</f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>L758+L759</f>
        <v>0</v>
      </c>
      <c r="M757" s="1364">
        <f>M758+M759</f>
        <v>0</v>
      </c>
      <c r="N757" s="1364">
        <f>N758+N759</f>
        <v>0</v>
      </c>
      <c r="O757" s="1364">
        <f>IF(L757&gt;0,N757*100/L757,0)</f>
        <v>0</v>
      </c>
      <c r="P757" s="1364">
        <f>IF(M757&gt;0,N757*100/M757,0)</f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>IF(L758&gt;0,N758*100/L758,0)</f>
        <v>0</v>
      </c>
      <c r="P758" s="899">
        <f>IF(M758&gt;0,N758*100/M758,0)</f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>IF(L759&gt;0,N759*100/L759,0)</f>
        <v>0</v>
      </c>
      <c r="P759" s="899">
        <f>IF(M759&gt;0,N759*100/M759,0)</f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>L765+L766</f>
        <v>0</v>
      </c>
      <c r="M764" s="1364">
        <f>M765+M766</f>
        <v>0</v>
      </c>
      <c r="N764" s="1364">
        <f>N765+N766</f>
        <v>0</v>
      </c>
      <c r="O764" s="1364">
        <f>IF(L764&gt;0,N764*100/L764,0)</f>
        <v>0</v>
      </c>
      <c r="P764" s="1364">
        <f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>IF(L765&gt;0,N765*100/L765,0)</f>
        <v>0</v>
      </c>
      <c r="P765" s="899">
        <f>IF(M765&gt;0,N765*100/M765,0)</f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>IF(L766&gt;0,N766*100/L766,0)</f>
        <v>0</v>
      </c>
      <c r="P766" s="899">
        <f>IF(M766&gt;0,N766*100/M766,0)</f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>L771+L772</f>
        <v>0</v>
      </c>
      <c r="M770" s="1364">
        <f>M771+M772</f>
        <v>0</v>
      </c>
      <c r="N770" s="1364">
        <f>N771+N772</f>
        <v>0</v>
      </c>
      <c r="O770" s="1364">
        <f>IF(L770&gt;0,N770*100/L770,0)</f>
        <v>0</v>
      </c>
      <c r="P770" s="1364">
        <f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>L774+L781</f>
        <v>0</v>
      </c>
      <c r="M771" s="899">
        <f>M774+M781</f>
        <v>0</v>
      </c>
      <c r="N771" s="899">
        <f>N774+N781</f>
        <v>0</v>
      </c>
      <c r="O771" s="899">
        <f>IF(L771&gt;0,N771*100/L771,0)</f>
        <v>0</v>
      </c>
      <c r="P771" s="899">
        <f>IF(M771&gt;0,N771*100/M771,0)</f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>L775+L782</f>
        <v>0</v>
      </c>
      <c r="M772" s="899">
        <f>M775+M782</f>
        <v>0</v>
      </c>
      <c r="N772" s="899">
        <f>N775+N782</f>
        <v>0</v>
      </c>
      <c r="O772" s="899">
        <f>IF(L772&gt;0,N772*100/L772,0)</f>
        <v>0</v>
      </c>
      <c r="P772" s="899">
        <f>IF(M772&gt;0,N772*100/M772,0)</f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>L774+L775</f>
        <v>0</v>
      </c>
      <c r="M773" s="1364">
        <f>M774+M775</f>
        <v>0</v>
      </c>
      <c r="N773" s="1364">
        <f>N774+N775</f>
        <v>0</v>
      </c>
      <c r="O773" s="1364">
        <f>IF(L773&gt;0,N773*100/L773,0)</f>
        <v>0</v>
      </c>
      <c r="P773" s="1364">
        <f>IF(M773&gt;0,N773*100/M773,0)</f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>IF(L774&gt;0,N774*100/L774,0)</f>
        <v>0</v>
      </c>
      <c r="P774" s="899">
        <f>IF(M774&gt;0,N774*100/M774,0)</f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>IF(L775&gt;0,N775*100/L775,0)</f>
        <v>0</v>
      </c>
      <c r="P775" s="899">
        <f>IF(M775&gt;0,N775*100/M775,0)</f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>L781+L782</f>
        <v>0</v>
      </c>
      <c r="M780" s="1364">
        <f>M781+M782</f>
        <v>0</v>
      </c>
      <c r="N780" s="1364">
        <f>N781+N782</f>
        <v>0</v>
      </c>
      <c r="O780" s="1364">
        <f>IF(L780&gt;0,N780*100/L780,0)</f>
        <v>0</v>
      </c>
      <c r="P780" s="1364">
        <f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>IF(L781&gt;0,N781*100/L781,0)</f>
        <v>0</v>
      </c>
      <c r="P781" s="899">
        <f>IF(M781&gt;0,N781*100/M781,0)</f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>IF(L782&gt;0,N782*100/L782,0)</f>
        <v>0</v>
      </c>
      <c r="P782" s="899">
        <f>IF(M782&gt;0,N782*100/M782,0)</f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ca="1">I800</f>
        <v>0</v>
      </c>
      <c r="J785" s="1485">
        <f ca="1">J800</f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ca="1">L787+L788</f>
        <v>0</v>
      </c>
      <c r="M786" s="1032">
        <f>M787+M788</f>
        <v>0</v>
      </c>
      <c r="N786" s="1032">
        <f>N787+N788</f>
        <v>0</v>
      </c>
      <c r="O786" s="1032">
        <f ca="1">IF(L786&gt;0,N786*100/L786,0)</f>
        <v>0</v>
      </c>
      <c r="P786" s="1032">
        <f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>L790+L797</f>
        <v>0</v>
      </c>
      <c r="M787" s="899">
        <f>M790+M797</f>
        <v>0</v>
      </c>
      <c r="N787" s="899">
        <f>N790+N797</f>
        <v>0</v>
      </c>
      <c r="O787" s="899">
        <f>IF(L787&gt;0,N787*100/L787,0)</f>
        <v>0</v>
      </c>
      <c r="P787" s="899">
        <f>IF(M787&gt;0,N787*100/M787,0)</f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ca="1">L791+L798</f>
        <v>0</v>
      </c>
      <c r="M788" s="899">
        <f>M791+M798</f>
        <v>0</v>
      </c>
      <c r="N788" s="899">
        <f>N791+N798</f>
        <v>0</v>
      </c>
      <c r="O788" s="899">
        <f ca="1">IF(L788&gt;0,N788*100/L788,0)</f>
        <v>0</v>
      </c>
      <c r="P788" s="899">
        <f>IF(M788&gt;0,N788*100/M788,0)</f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ca="1">L790+L791</f>
        <v>0</v>
      </c>
      <c r="M789" s="893">
        <f>M790+M791</f>
        <v>0</v>
      </c>
      <c r="N789" s="893">
        <f>N790+N791</f>
        <v>0</v>
      </c>
      <c r="O789" s="893">
        <f ca="1">IF(L789&gt;0,N789*100/L789,0)</f>
        <v>0</v>
      </c>
      <c r="P789" s="893">
        <f>IF(M789&gt;0,N789*100/M789,0)</f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>IF(L790&gt;0,N790*100/L790,0)</f>
        <v>0</v>
      </c>
      <c r="P790" s="899">
        <f>IF(M790&gt;0,N790*100/M790,0)</f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IFERROR(__xludf.DUMMYFUNCTION("IMPORTRANGE(""https://docs.google.com/spreadsheets/d/1QqKyyYR6Q21VydFLVH3TRQUabQu_ym0Zz7PgGX0-kHA/edit?usp=sharing"",""แผน!JJ47"")"),0)</f>
        <v>0</v>
      </c>
      <c r="M791" s="899">
        <v>0</v>
      </c>
      <c r="N791" s="899">
        <f>N792+N793+N794+N795</f>
        <v>0</v>
      </c>
      <c r="O791" s="899">
        <f ca="1">IF(L791&gt;0,N791*100/L791,0)</f>
        <v>0</v>
      </c>
      <c r="P791" s="899">
        <f>IF(M791&gt;0,N791*100/M791,0)</f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>L797+L798</f>
        <v>0</v>
      </c>
      <c r="M796" s="893">
        <f>M797+M798</f>
        <v>0</v>
      </c>
      <c r="N796" s="893">
        <f>N797+N798</f>
        <v>0</v>
      </c>
      <c r="O796" s="893">
        <f>IF(L796&gt;0,N796*100/L796,0)</f>
        <v>0</v>
      </c>
      <c r="P796" s="893">
        <f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>IF(L797&gt;0,N797*100/L797,0)</f>
        <v>0</v>
      </c>
      <c r="P797" s="899">
        <f>IF(M797&gt;0,N797*100/M797,0)</f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>IF(L798&gt;0,N798*100/L798,0)</f>
        <v>0</v>
      </c>
      <c r="P798" s="899">
        <f>IF(M798&gt;0,N798*100/M798,0)</f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IFERROR(__xludf.DUMMYFUNCTION("IMPORTRANGE(""https://docs.google.com/spreadsheets/d/1QqKyyYR6Q21VydFLVH3TRQUabQu_ym0Zz7PgGX0-kHA/edit?usp=sharing"",""แผน!JN47"")"),0)</f>
        <v>0</v>
      </c>
      <c r="J800" s="1009">
        <f ca="1">IFERROR(__xludf.DUMMYFUNCTION("IMPORTRANGE(""https://docs.google.com/spreadsheets/d/1MaWodYyGHDf7siQLGxnXhG4mBNTNIuy296niS2xXulU/edit?usp=sharing"",""RTK!H47"")"),0)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IFERROR(__xludf.DUMMYFUNCTION("IMPORTRANGE(""https://docs.google.com/spreadsheets/d/1MaWodYyGHDf7siQLGxnXhG4mBNTNIuy296niS2xXulU/edit?usp=sharing"",""RTK!I47"")"),0)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>L806+L807</f>
        <v>0</v>
      </c>
      <c r="M805" s="1364">
        <f>M806+M807</f>
        <v>0</v>
      </c>
      <c r="N805" s="1364">
        <f>N806+N807</f>
        <v>0</v>
      </c>
      <c r="O805" s="1364">
        <f>IF(L805&gt;0,N805*100/L805,0)</f>
        <v>0</v>
      </c>
      <c r="P805" s="1364">
        <f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>L809+L816</f>
        <v>0</v>
      </c>
      <c r="M806" s="899">
        <f>M809+M816</f>
        <v>0</v>
      </c>
      <c r="N806" s="899">
        <f>N809+N816</f>
        <v>0</v>
      </c>
      <c r="O806" s="899">
        <f>IF(L806&gt;0,N806*100/L806,0)</f>
        <v>0</v>
      </c>
      <c r="P806" s="899">
        <f>IF(M806&gt;0,N806*100/M806,0)</f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>L810+L817</f>
        <v>0</v>
      </c>
      <c r="M807" s="899">
        <f>M810+M817</f>
        <v>0</v>
      </c>
      <c r="N807" s="899">
        <f>N810+N817</f>
        <v>0</v>
      </c>
      <c r="O807" s="899">
        <f>IF(L807&gt;0,N807*100/L807,0)</f>
        <v>0</v>
      </c>
      <c r="P807" s="899">
        <f>IF(M807&gt;0,N807*100/M807,0)</f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>L809+L810</f>
        <v>0</v>
      </c>
      <c r="M808" s="1364">
        <f>M809+M810</f>
        <v>0</v>
      </c>
      <c r="N808" s="1364">
        <f>N809+N810</f>
        <v>0</v>
      </c>
      <c r="O808" s="1364">
        <f>IF(L808&gt;0,N808*100/L808,0)</f>
        <v>0</v>
      </c>
      <c r="P808" s="1364">
        <f>IF(M808&gt;0,N808*100/M808,0)</f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>IF(L809&gt;0,N809*100/L809,0)</f>
        <v>0</v>
      </c>
      <c r="P809" s="899">
        <f>IF(M809&gt;0,N809*100/M809,0)</f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>IF(L810&gt;0,N810*100/L810,0)</f>
        <v>0</v>
      </c>
      <c r="P810" s="899">
        <f>IF(M810&gt;0,N810*100/M810,0)</f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>L816+L817</f>
        <v>0</v>
      </c>
      <c r="M815" s="1364">
        <f>M816+M817</f>
        <v>0</v>
      </c>
      <c r="N815" s="1364">
        <f>N816+N817</f>
        <v>0</v>
      </c>
      <c r="O815" s="1364">
        <f>IF(L815&gt;0,N815*100/L815,0)</f>
        <v>0</v>
      </c>
      <c r="P815" s="1364">
        <f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>IF(L816&gt;0,N816*100/L816,0)</f>
        <v>0</v>
      </c>
      <c r="P816" s="899">
        <f>IF(M816&gt;0,N816*100/M816,0)</f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>IF(L817&gt;0,N817*100/L817,0)</f>
        <v>0</v>
      </c>
      <c r="P817" s="899">
        <f>IF(M817&gt;0,N817*100/M817,0)</f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892">
        <f ca="1">IFERROR(__xludf.DUMMYFUNCTION("IMPORTRANGE(""https://docs.google.com/spreadsheets/d/19vJNZY_5yjcGF2XGBMNZRCAIB0Kwfpjp8YEOfu-bneM/edit?usp=sharing"",""งานกองทุน!F47"")"),2307699.79)</f>
        <v>2307699.79</v>
      </c>
      <c r="K821" s="893">
        <f ca="1">IF(I821&gt;0,J821*100/I821,0)</f>
        <v>61.967486150875132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IFERROR(__xludf.DUMMYFUNCTION("IMPORTRANGE(""https://docs.google.com/spreadsheets/d/19vJNZY_5yjcGF2XGBMNZRCAIB0Kwfpjp8YEOfu-bneM/edit?usp=sharing"",""งานกองทุน!C47"")"),342)</f>
        <v>342</v>
      </c>
      <c r="J822" s="892">
        <f ca="1">IFERROR(__xludf.DUMMYFUNCTION("IMPORTRANGE(""https://docs.google.com/spreadsheets/d/19vJNZY_5yjcGF2XGBMNZRCAIB0Kwfpjp8YEOfu-bneM/edit?usp=sharing"",""งานกองทุน!E47"")"),234)</f>
        <v>234</v>
      </c>
      <c r="K822" s="893">
        <f ca="1">IF(I822&gt;0,J822*100/I822,0)</f>
        <v>68.421052631578945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892">
        <f ca="1">IFERROR(__xludf.DUMMYFUNCTION("IMPORTRANGE(""https://docs.google.com/spreadsheets/d/19vJNZY_5yjcGF2XGBMNZRCAIB0Kwfpjp8YEOfu-bneM/edit?usp=sharing"",""งานกองทุน!K47"")"),335388.39)</f>
        <v>335388.39</v>
      </c>
      <c r="K823" s="893">
        <f ca="1">IF(I823&gt;0,J823*100/I823,0)</f>
        <v>60.950247247766647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IFERROR(__xludf.DUMMYFUNCTION("IMPORTRANGE(""https://docs.google.com/spreadsheets/d/19vJNZY_5yjcGF2XGBMNZRCAIB0Kwfpjp8YEOfu-bneM/edit?usp=sharing"",""งานกองทุน!H47"")"),38)</f>
        <v>38</v>
      </c>
      <c r="J824" s="892">
        <f ca="1">IFERROR(__xludf.DUMMYFUNCTION("IMPORTRANGE(""https://docs.google.com/spreadsheets/d/19vJNZY_5yjcGF2XGBMNZRCAIB0Kwfpjp8YEOfu-bneM/edit?usp=sharing"",""งานกองทุน!J47"")"),31)</f>
        <v>31</v>
      </c>
      <c r="K824" s="893">
        <f ca="1">IF(I824&gt;0,J824*100/I824,0)</f>
        <v>81.578947368421055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892">
        <f ca="1">IFERROR(__xludf.DUMMYFUNCTION("IMPORTRANGE(""https://docs.google.com/spreadsheets/d/19vJNZY_5yjcGF2XGBMNZRCAIB0Kwfpjp8YEOfu-bneM/edit?usp=sharing"",""งานกองทุน!P47"")"),471848.56)</f>
        <v>471848.56</v>
      </c>
      <c r="K825" s="893">
        <f ca="1">IF(I825&gt;0,J825*100/I825,0)</f>
        <v>73.962205283969496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IFERROR(__xludf.DUMMYFUNCTION("IMPORTRANGE(""https://docs.google.com/spreadsheets/d/19vJNZY_5yjcGF2XGBMNZRCAIB0Kwfpjp8YEOfu-bneM/edit?usp=sharing"",""งานกองทุน!M47"")"),74)</f>
        <v>74</v>
      </c>
      <c r="J826" s="892">
        <f ca="1">IFERROR(__xludf.DUMMYFUNCTION("IMPORTRANGE(""https://docs.google.com/spreadsheets/d/19vJNZY_5yjcGF2XGBMNZRCAIB0Kwfpjp8YEOfu-bneM/edit?usp=sharing"",""งานกองทุน!O47"")"),89)</f>
        <v>89</v>
      </c>
      <c r="K826" s="893">
        <f ca="1">IF(I826&gt;0,J826*100/I826,0)</f>
        <v>120.27027027027027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IFERROR(__xludf.DUMMYFUNCTION("IMPORTRANGE(""https://docs.google.com/spreadsheets/d/19vJNZY_5yjcGF2XGBMNZRCAIB0Kwfpjp8YEOfu-bneM/edit?usp=sharing"",""งานกองทุน!S47"")"),4200000)</f>
        <v>4200000</v>
      </c>
      <c r="J827" s="892">
        <f ca="1">IFERROR(__xludf.DUMMYFUNCTION("IMPORTRANGE(""https://docs.google.com/spreadsheets/d/19vJNZY_5yjcGF2XGBMNZRCAIB0Kwfpjp8YEOfu-bneM/edit?usp=sharing"",""งานกองทุน!U47"")"),480000)</f>
        <v>480000</v>
      </c>
      <c r="K827" s="893">
        <f ca="1">IF(I827&gt;0,J827*100/I827,0)</f>
        <v>11.428571428571429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IFERROR(__xludf.DUMMYFUNCTION("IMPORTRANGE(""https://docs.google.com/spreadsheets/d/19vJNZY_5yjcGF2XGBMNZRCAIB0Kwfpjp8YEOfu-bneM/edit?usp=sharing"",""งานกองทุน!R47"")"),115)</f>
        <v>115</v>
      </c>
      <c r="J828" s="1149">
        <f ca="1">IFERROR(__xludf.DUMMYFUNCTION("IMPORTRANGE(""https://docs.google.com/spreadsheets/d/19vJNZY_5yjcGF2XGBMNZRCAIB0Kwfpjp8YEOfu-bneM/edit?usp=sharing"",""งานกองทุน!T47"")"),12)</f>
        <v>12</v>
      </c>
      <c r="K828" s="1251">
        <f ca="1">IF(I828&gt;0,J828*100/I828,0)</f>
        <v>10.434782608695652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 gridLines="1"/>
  <pageMargins left="0.25" right="0.25" top="0.75" bottom="0.75" header="0" footer="0"/>
  <pageSetup paperSize="9" fitToHeight="0" pageOrder="overThenDown" orientation="landscape" cellComments="atEnd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034A-268C-46EF-8C5F-70D4C7615662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355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8450788</v>
      </c>
      <c r="M8" s="879">
        <f t="shared" ca="1" si="0"/>
        <v>7830380</v>
      </c>
      <c r="N8" s="879">
        <f t="shared" ca="1" si="0"/>
        <v>3472093.5700000003</v>
      </c>
      <c r="O8" s="879">
        <f t="shared" ref="O8:O16" ca="1" si="1">IF(L8&gt;0,N8*100/L8,0)</f>
        <v>41.086033278790097</v>
      </c>
      <c r="P8" s="879">
        <f t="shared" ref="P8:P16" ca="1" si="2">IF(M8&gt;0,N8*100/M8,0)</f>
        <v>44.341316385667106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8450788</v>
      </c>
      <c r="M10" s="886">
        <f t="shared" ca="1" si="3"/>
        <v>7830380</v>
      </c>
      <c r="N10" s="886">
        <f t="shared" ca="1" si="3"/>
        <v>3472093.5700000003</v>
      </c>
      <c r="O10" s="886">
        <f t="shared" ca="1" si="1"/>
        <v>41.086033278790097</v>
      </c>
      <c r="P10" s="886">
        <f t="shared" ca="1" si="2"/>
        <v>44.341316385667106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6530288</v>
      </c>
      <c r="M11" s="893">
        <f t="shared" ca="1" si="4"/>
        <v>5910395</v>
      </c>
      <c r="N11" s="893">
        <f t="shared" ca="1" si="4"/>
        <v>3059108.5700000003</v>
      </c>
      <c r="O11" s="893">
        <f t="shared" ca="1" si="1"/>
        <v>46.844925828692396</v>
      </c>
      <c r="P11" s="893">
        <f t="shared" ca="1" si="2"/>
        <v>51.758107030071592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6530288</v>
      </c>
      <c r="M13" s="899">
        <f t="shared" ca="1" si="5"/>
        <v>5910395</v>
      </c>
      <c r="N13" s="899">
        <f t="shared" ca="1" si="5"/>
        <v>3059108.5700000003</v>
      </c>
      <c r="O13" s="899">
        <f t="shared" ca="1" si="1"/>
        <v>46.844925828692396</v>
      </c>
      <c r="P13" s="899">
        <f t="shared" ca="1" si="2"/>
        <v>51.758107030071592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1920500</v>
      </c>
      <c r="M14" s="893">
        <f t="shared" ca="1" si="6"/>
        <v>1919985</v>
      </c>
      <c r="N14" s="893">
        <f t="shared" ca="1" si="6"/>
        <v>412985</v>
      </c>
      <c r="O14" s="893">
        <f t="shared" ca="1" si="1"/>
        <v>21.504035407445979</v>
      </c>
      <c r="P14" s="893">
        <f t="shared" ca="1" si="2"/>
        <v>21.509803462006214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1920500</v>
      </c>
      <c r="M16" s="905">
        <f t="shared" ca="1" si="7"/>
        <v>1919985</v>
      </c>
      <c r="N16" s="905">
        <f t="shared" ca="1" si="7"/>
        <v>412985</v>
      </c>
      <c r="O16" s="905">
        <f t="shared" ca="1" si="1"/>
        <v>21.504035407445979</v>
      </c>
      <c r="P16" s="905">
        <f t="shared" ca="1" si="2"/>
        <v>21.509803462006214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5574212</v>
      </c>
      <c r="M18" s="879">
        <f t="shared" ca="1" si="8"/>
        <v>4953804</v>
      </c>
      <c r="N18" s="879">
        <f t="shared" ca="1" si="8"/>
        <v>2490140.85</v>
      </c>
      <c r="O18" s="879">
        <f t="shared" ref="O18:O26" ca="1" si="9">IF(L18&gt;0,N18*100/L18,0)</f>
        <v>44.672517837498823</v>
      </c>
      <c r="P18" s="879">
        <f t="shared" ref="P18:P26" ca="1" si="10">IF(M18&gt;0,N18*100/M18,0)</f>
        <v>50.267246140541694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5574212</v>
      </c>
      <c r="M20" s="886">
        <f t="shared" ca="1" si="11"/>
        <v>4953804</v>
      </c>
      <c r="N20" s="886">
        <f t="shared" ca="1" si="11"/>
        <v>2490140.85</v>
      </c>
      <c r="O20" s="886">
        <f t="shared" ca="1" si="9"/>
        <v>44.672517837498823</v>
      </c>
      <c r="P20" s="886">
        <f t="shared" ca="1" si="10"/>
        <v>50.267246140541694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3653712</v>
      </c>
      <c r="M21" s="893">
        <f t="shared" ca="1" si="12"/>
        <v>3033819</v>
      </c>
      <c r="N21" s="893">
        <f t="shared" ca="1" si="12"/>
        <v>2077155.85</v>
      </c>
      <c r="O21" s="893">
        <f t="shared" ca="1" si="9"/>
        <v>56.850563208047049</v>
      </c>
      <c r="P21" s="893">
        <f t="shared" ca="1" si="10"/>
        <v>68.466703188291717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3653712</v>
      </c>
      <c r="M23" s="899">
        <f t="shared" ca="1" si="13"/>
        <v>3033819</v>
      </c>
      <c r="N23" s="899">
        <f t="shared" ca="1" si="13"/>
        <v>2077155.85</v>
      </c>
      <c r="O23" s="899">
        <f t="shared" ca="1" si="9"/>
        <v>56.850563208047049</v>
      </c>
      <c r="P23" s="899">
        <f t="shared" ca="1" si="10"/>
        <v>68.466703188291717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1920500</v>
      </c>
      <c r="M24" s="893">
        <f t="shared" ca="1" si="14"/>
        <v>1919985</v>
      </c>
      <c r="N24" s="893">
        <f t="shared" ca="1" si="14"/>
        <v>412985</v>
      </c>
      <c r="O24" s="893">
        <f t="shared" ca="1" si="9"/>
        <v>21.504035407445979</v>
      </c>
      <c r="P24" s="893">
        <f t="shared" ca="1" si="10"/>
        <v>21.509803462006214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1920500</v>
      </c>
      <c r="M26" s="905">
        <f t="shared" ca="1" si="15"/>
        <v>1919985</v>
      </c>
      <c r="N26" s="905">
        <f t="shared" ca="1" si="15"/>
        <v>412985</v>
      </c>
      <c r="O26" s="905">
        <f t="shared" ca="1" si="9"/>
        <v>21.504035407445979</v>
      </c>
      <c r="P26" s="905">
        <f t="shared" ca="1" si="10"/>
        <v>21.509803462006214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2876576</v>
      </c>
      <c r="M28" s="879">
        <f t="shared" ca="1" si="16"/>
        <v>2876576</v>
      </c>
      <c r="N28" s="879">
        <f t="shared" si="16"/>
        <v>981952.72</v>
      </c>
      <c r="O28" s="879">
        <f t="shared" ref="O28:O37" ca="1" si="17">IF(L28&gt;0,N28*100/L28,0)</f>
        <v>34.136164662432002</v>
      </c>
      <c r="P28" s="879">
        <f t="shared" ref="P28:P37" ca="1" si="18">IF(M28&gt;0,N28*100/M28,0)</f>
        <v>34.136164662432002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2876576</v>
      </c>
      <c r="M30" s="886">
        <f t="shared" ca="1" si="19"/>
        <v>2876576</v>
      </c>
      <c r="N30" s="886">
        <f t="shared" si="19"/>
        <v>981952.72</v>
      </c>
      <c r="O30" s="886">
        <f t="shared" ca="1" si="17"/>
        <v>34.136164662432002</v>
      </c>
      <c r="P30" s="886">
        <f t="shared" ca="1" si="18"/>
        <v>34.136164662432002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2876576</v>
      </c>
      <c r="M31" s="893">
        <f t="shared" ca="1" si="20"/>
        <v>2876576</v>
      </c>
      <c r="N31" s="893">
        <f t="shared" si="20"/>
        <v>981952.72</v>
      </c>
      <c r="O31" s="893">
        <f t="shared" ca="1" si="17"/>
        <v>34.136164662432002</v>
      </c>
      <c r="P31" s="893">
        <f t="shared" ca="1" si="18"/>
        <v>34.136164662432002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2876576</v>
      </c>
      <c r="M33" s="899">
        <f t="shared" ca="1" si="21"/>
        <v>2876576</v>
      </c>
      <c r="N33" s="899">
        <f t="shared" si="21"/>
        <v>981952.72</v>
      </c>
      <c r="O33" s="899">
        <f t="shared" ca="1" si="17"/>
        <v>34.136164662432002</v>
      </c>
      <c r="P33" s="899">
        <f t="shared" ca="1" si="18"/>
        <v>34.136164662432002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5574212</v>
      </c>
      <c r="M37" s="912">
        <f t="shared" ca="1" si="24"/>
        <v>4953804</v>
      </c>
      <c r="N37" s="912">
        <f t="shared" ca="1" si="24"/>
        <v>2490140.85</v>
      </c>
      <c r="O37" s="912">
        <f t="shared" ca="1" si="17"/>
        <v>44.672517837498823</v>
      </c>
      <c r="P37" s="912">
        <f t="shared" ca="1" si="18"/>
        <v>50.267246140541694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720442</v>
      </c>
      <c r="M41" s="938">
        <f t="shared" ca="1" si="25"/>
        <v>737049</v>
      </c>
      <c r="N41" s="938">
        <f t="shared" ca="1" si="25"/>
        <v>420226</v>
      </c>
      <c r="O41" s="938">
        <f t="shared" ref="O41:O49" ca="1" si="26">IF(L41&gt;0,N41*100/L41,0)</f>
        <v>58.328914749556525</v>
      </c>
      <c r="P41" s="938">
        <f t="shared" ref="P41:P49" ca="1" si="27">IF(M41&gt;0,N41*100/M41,0)</f>
        <v>57.014662525829351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720442</v>
      </c>
      <c r="M43" s="944">
        <f t="shared" ca="1" si="28"/>
        <v>737049</v>
      </c>
      <c r="N43" s="944">
        <f t="shared" ca="1" si="28"/>
        <v>420226</v>
      </c>
      <c r="O43" s="944">
        <f t="shared" ca="1" si="26"/>
        <v>58.328914749556525</v>
      </c>
      <c r="P43" s="944">
        <f t="shared" ca="1" si="27"/>
        <v>57.014662525829351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720442</v>
      </c>
      <c r="M44" s="893">
        <f t="shared" ca="1" si="29"/>
        <v>737049</v>
      </c>
      <c r="N44" s="893">
        <f t="shared" ca="1" si="29"/>
        <v>420226</v>
      </c>
      <c r="O44" s="893">
        <f t="shared" ca="1" si="26"/>
        <v>58.328914749556525</v>
      </c>
      <c r="P44" s="893">
        <f t="shared" ca="1" si="27"/>
        <v>57.014662525829351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IFERROR(__xludf.DUMMYFUNCTION("IMPORTRANGE(""https://docs.google.com/spreadsheets/d/1MeEWN-I1oV_STSDYn1IFDPWt_1FKiwhDph83XaGc0o0/edit?usp=sharing"",""งบพรบ!M48"")"),720442)</f>
        <v>720442</v>
      </c>
      <c r="M46" s="899">
        <f ca="1">IFERROR(__xludf.DUMMYFUNCTION("IMPORTRANGE(""https://docs.google.com/spreadsheets/d/1MeEWN-I1oV_STSDYn1IFDPWt_1FKiwhDph83XaGc0o0/edit?usp=sharing"",""งบพรบ!R48"")"),737049)</f>
        <v>737049</v>
      </c>
      <c r="N46" s="899">
        <f ca="1">IFERROR(__xludf.DUMMYFUNCTION("IMPORTRANGE(""https://docs.google.com/spreadsheets/d/1MeEWN-I1oV_STSDYn1IFDPWt_1FKiwhDph83XaGc0o0/edit?usp=sharing"",""งบพรบ!T48"")"),420226)</f>
        <v>420226</v>
      </c>
      <c r="O46" s="899">
        <f t="shared" ca="1" si="26"/>
        <v>58.328914749556525</v>
      </c>
      <c r="P46" s="899">
        <f t="shared" ca="1" si="27"/>
        <v>57.014662525829351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IFERROR(__xludf.DUMMYFUNCTION("IMPORTRANGE(""https://docs.google.com/spreadsheets/d/1MeEWN-I1oV_STSDYn1IFDPWt_1FKiwhDph83XaGc0o0/edit?usp=sharing"",""งบพรบ!P48"")"),0)</f>
        <v>0</v>
      </c>
      <c r="M49" s="905">
        <f ca="1">IFERROR(__xludf.DUMMYFUNCTION("IMPORTRANGE(""https://docs.google.com/spreadsheets/d/1MeEWN-I1oV_STSDYn1IFDPWt_1FKiwhDph83XaGc0o0/edit?usp=sharing"",""งบพรบ!S48"")"),0)</f>
        <v>0</v>
      </c>
      <c r="N49" s="905">
        <f ca="1">IFERROR(__xludf.DUMMYFUNCTION("IMPORTRANGE(""https://docs.google.com/spreadsheets/d/1MeEWN-I1oV_STSDYn1IFDPWt_1FKiwhDph83XaGc0o0/edit?usp=sharing"",""งบพรบ!U48"")"),0)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2260500</v>
      </c>
      <c r="M53" s="968">
        <f t="shared" ca="1" si="31"/>
        <v>2153620</v>
      </c>
      <c r="N53" s="968">
        <f t="shared" ca="1" si="31"/>
        <v>464975.5</v>
      </c>
      <c r="O53" s="968">
        <f t="shared" ref="O53:O61" ca="1" si="32">IF(L53&gt;0,N53*100/L53,0)</f>
        <v>20.569586374695863</v>
      </c>
      <c r="P53" s="968">
        <f t="shared" ref="P53:P61" ca="1" si="33">IF(M53&gt;0,N53*100/M53,0)</f>
        <v>21.590415207882543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2260500</v>
      </c>
      <c r="M55" s="974">
        <f t="shared" ca="1" si="34"/>
        <v>2153620</v>
      </c>
      <c r="N55" s="974">
        <f t="shared" ca="1" si="34"/>
        <v>464975.5</v>
      </c>
      <c r="O55" s="974">
        <f t="shared" ca="1" si="32"/>
        <v>20.569586374695863</v>
      </c>
      <c r="P55" s="974">
        <f t="shared" ca="1" si="33"/>
        <v>21.590415207882543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652000</v>
      </c>
      <c r="M56" s="893">
        <f t="shared" ca="1" si="35"/>
        <v>545620</v>
      </c>
      <c r="N56" s="893">
        <f t="shared" ca="1" si="35"/>
        <v>363975.5</v>
      </c>
      <c r="O56" s="893">
        <f t="shared" ca="1" si="32"/>
        <v>55.824463190184048</v>
      </c>
      <c r="P56" s="893">
        <f t="shared" ca="1" si="33"/>
        <v>66.708606722627465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IFERROR(__xludf.DUMMYFUNCTION("IMPORTRANGE(""https://docs.google.com/spreadsheets/d/1MeEWN-I1oV_STSDYn1IFDPWt_1FKiwhDph83XaGc0o0/edit?usp=sharing"",""งบพรบ!W48"")"),652000)</f>
        <v>652000</v>
      </c>
      <c r="M58" s="899">
        <f ca="1">IFERROR(__xludf.DUMMYFUNCTION("IMPORTRANGE(""https://docs.google.com/spreadsheets/d/1MeEWN-I1oV_STSDYn1IFDPWt_1FKiwhDph83XaGc0o0/edit?usp=sharing"",""งบพรบ!AB48"")"),545620)</f>
        <v>545620</v>
      </c>
      <c r="N58" s="899">
        <f ca="1">IFERROR(__xludf.DUMMYFUNCTION("IMPORTRANGE(""https://docs.google.com/spreadsheets/d/1MeEWN-I1oV_STSDYn1IFDPWt_1FKiwhDph83XaGc0o0/edit?usp=sharing"",""งบพรบ!AD48"")"),363975.5)</f>
        <v>363975.5</v>
      </c>
      <c r="O58" s="899">
        <f t="shared" ca="1" si="32"/>
        <v>55.824463190184048</v>
      </c>
      <c r="P58" s="899">
        <f t="shared" ca="1" si="33"/>
        <v>66.708606722627465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1608500</v>
      </c>
      <c r="M59" s="893">
        <f t="shared" ca="1" si="36"/>
        <v>1608000</v>
      </c>
      <c r="N59" s="893">
        <f t="shared" ca="1" si="36"/>
        <v>101000</v>
      </c>
      <c r="O59" s="893">
        <f t="shared" ca="1" si="32"/>
        <v>6.2791420578178423</v>
      </c>
      <c r="P59" s="893">
        <f t="shared" ca="1" si="33"/>
        <v>6.2810945273631837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IFERROR(__xludf.DUMMYFUNCTION("IMPORTRANGE(""https://docs.google.com/spreadsheets/d/1MeEWN-I1oV_STSDYn1IFDPWt_1FKiwhDph83XaGc0o0/edit?usp=sharing"",""งบพรบ!Z48"")"),1608500)</f>
        <v>1608500</v>
      </c>
      <c r="M61" s="905">
        <f ca="1">IFERROR(__xludf.DUMMYFUNCTION("IMPORTRANGE(""https://docs.google.com/spreadsheets/d/1MeEWN-I1oV_STSDYn1IFDPWt_1FKiwhDph83XaGc0o0/edit?usp=sharing"",""งบพรบ!AC48"")"),1608000)</f>
        <v>1608000</v>
      </c>
      <c r="N61" s="905">
        <f ca="1">IFERROR(__xludf.DUMMYFUNCTION("IMPORTRANGE(""https://docs.google.com/spreadsheets/d/1MeEWN-I1oV_STSDYn1IFDPWt_1FKiwhDph83XaGc0o0/edit?usp=sharing"",""งบพรบ!AE48"")"),101000)</f>
        <v>101000</v>
      </c>
      <c r="O61" s="905">
        <f t="shared" ca="1" si="32"/>
        <v>6.2791420578178423</v>
      </c>
      <c r="P61" s="905">
        <f t="shared" ca="1" si="33"/>
        <v>6.2810945273631837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30</v>
      </c>
      <c r="J65" s="994">
        <f t="shared" si="37"/>
        <v>30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384000</v>
      </c>
      <c r="M66" s="1004">
        <f t="shared" ca="1" si="39"/>
        <v>316620</v>
      </c>
      <c r="N66" s="1004">
        <f t="shared" ca="1" si="39"/>
        <v>255457</v>
      </c>
      <c r="O66" s="1004">
        <f t="shared" ref="O66:O74" ca="1" si="40">IF(L66&gt;0,N66*100/L66,0)</f>
        <v>66.525260416666669</v>
      </c>
      <c r="P66" s="1004">
        <f t="shared" ref="P66:P74" ca="1" si="41">IF(M66&gt;0,N66*100/M66,0)</f>
        <v>80.682521634767227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384000</v>
      </c>
      <c r="M68" s="899">
        <f t="shared" ca="1" si="42"/>
        <v>316620</v>
      </c>
      <c r="N68" s="899">
        <f t="shared" ca="1" si="42"/>
        <v>255457</v>
      </c>
      <c r="O68" s="899">
        <f t="shared" ca="1" si="40"/>
        <v>66.525260416666669</v>
      </c>
      <c r="P68" s="899">
        <f t="shared" ca="1" si="41"/>
        <v>80.682521634767227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384000</v>
      </c>
      <c r="M69" s="893">
        <f t="shared" ca="1" si="43"/>
        <v>316620</v>
      </c>
      <c r="N69" s="893">
        <f t="shared" ca="1" si="43"/>
        <v>255457</v>
      </c>
      <c r="O69" s="893">
        <f t="shared" ca="1" si="40"/>
        <v>66.525260416666669</v>
      </c>
      <c r="P69" s="893">
        <f t="shared" ca="1" si="41"/>
        <v>80.682521634767227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IFERROR(__xludf.DUMMYFUNCTION("IMPORTRANGE(""https://docs.google.com/spreadsheets/d/1MeEWN-I1oV_STSDYn1IFDPWt_1FKiwhDph83XaGc0o0/edit?usp=sharing"",""งบพรบ!AG48"")"),384000)</f>
        <v>384000</v>
      </c>
      <c r="M71" s="899">
        <f ca="1">IFERROR(__xludf.DUMMYFUNCTION("IMPORTRANGE(""https://docs.google.com/spreadsheets/d/1MeEWN-I1oV_STSDYn1IFDPWt_1FKiwhDph83XaGc0o0/edit?usp=sharing"",""งบพรบ!AL48"")"),316620)</f>
        <v>316620</v>
      </c>
      <c r="N71" s="899">
        <f ca="1">IFERROR(__xludf.DUMMYFUNCTION("IMPORTRANGE(""https://docs.google.com/spreadsheets/d/1MeEWN-I1oV_STSDYn1IFDPWt_1FKiwhDph83XaGc0o0/edit?usp=sharing"",""งบพรบ!AN48"")"),255457)</f>
        <v>255457</v>
      </c>
      <c r="O71" s="899">
        <f t="shared" ca="1" si="40"/>
        <v>66.525260416666669</v>
      </c>
      <c r="P71" s="899">
        <f t="shared" ca="1" si="41"/>
        <v>80.682521634767227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IFERROR(__xludf.DUMMYFUNCTION("IMPORTRANGE(""https://docs.google.com/spreadsheets/d/1MeEWN-I1oV_STSDYn1IFDPWt_1FKiwhDph83XaGc0o0/edit?usp=sharing"",""งบพรบ!AJ48"")"),0)</f>
        <v>0</v>
      </c>
      <c r="M74" s="899">
        <f ca="1">IFERROR(__xludf.DUMMYFUNCTION("IMPORTRANGE(""https://docs.google.com/spreadsheets/d/1MeEWN-I1oV_STSDYn1IFDPWt_1FKiwhDph83XaGc0o0/edit?usp=sharing"",""งบพรบ!AM48"")"),0)</f>
        <v>0</v>
      </c>
      <c r="N74" s="899">
        <f ca="1">IFERROR(__xludf.DUMMYFUNCTION("IMPORTRANGE(""https://docs.google.com/spreadsheets/d/1MeEWN-I1oV_STSDYn1IFDPWt_1FKiwhDph83XaGc0o0/edit?usp=sharing"",""งบพรบ!AO48"")"),0)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30</v>
      </c>
      <c r="J77" s="892">
        <f t="shared" si="45"/>
        <v>30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IFERROR(__xludf.DUMMYFUNCTION("IMPORTRANGE(""https://docs.google.com/spreadsheets/d/1QqKyyYR6Q21VydFLVH3TRQUabQu_ym0Zz7PgGX0-kHA/edit?usp=sharing"",""แผน!H48"")"),0)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IFERROR(__xludf.DUMMYFUNCTION("IMPORTRANGE(""https://docs.google.com/spreadsheets/d/1QqKyyYR6Q21VydFLVH3TRQUabQu_ym0Zz7PgGX0-kHA/edit?usp=sharing"",""แผน!I48"")"),0)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IFERROR(__xludf.DUMMYFUNCTION("IMPORTRANGE(""https://docs.google.com/spreadsheets/d/1QqKyyYR6Q21VydFLVH3TRQUabQu_ym0Zz7PgGX0-kHA/edit?usp=sharing"",""แผน!F48"")"),1)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IFERROR(__xludf.DUMMYFUNCTION("IMPORTRANGE(""https://docs.google.com/spreadsheets/d/1QqKyyYR6Q21VydFLVH3TRQUabQu_ym0Zz7PgGX0-kHA/edit?usp=sharing"",""แผน!G48"")"),30)</f>
        <v>30</v>
      </c>
      <c r="J81" s="1024">
        <v>30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IFERROR(__xludf.DUMMYFUNCTION("IMPORTRANGE(""https://docs.google.com/spreadsheets/d/1QqKyyYR6Q21VydFLVH3TRQUabQu_ym0Zz7PgGX0-kHA/edit?usp=sharing"",""แผน!D48"")"),0)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IFERROR(__xludf.DUMMYFUNCTION("IMPORTRANGE(""https://docs.google.com/spreadsheets/d/1QqKyyYR6Q21VydFLVH3TRQUabQu_ym0Zz7PgGX0-kHA/edit?usp=sharing"",""แผน!E48"")"),0)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IFERROR(__xludf.DUMMYFUNCTION("IMPORTRANGE(""https://docs.google.com/spreadsheets/d/1QqKyyYR6Q21VydFLVH3TRQUabQu_ym0Zz7PgGX0-kHA/edit?usp=sharing"",""แผน!J48"")"),1)</f>
        <v>1</v>
      </c>
      <c r="J84" s="1024">
        <v>1</v>
      </c>
      <c r="K84" s="1010">
        <f t="shared" ca="1" si="46"/>
        <v>100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86040</v>
      </c>
      <c r="M88" s="1004">
        <f t="shared" ca="1" si="49"/>
        <v>79340</v>
      </c>
      <c r="N88" s="1004">
        <f t="shared" ca="1" si="49"/>
        <v>72919</v>
      </c>
      <c r="O88" s="1004">
        <f t="shared" ref="O88:O96" ca="1" si="50">IF(L88&gt;0,N88*100/L88,0)</f>
        <v>84.750116225011624</v>
      </c>
      <c r="P88" s="1004">
        <f t="shared" ref="P88:P96" ca="1" si="51">IF(M88&gt;0,N88*100/M88,0)</f>
        <v>91.906982606503661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86040</v>
      </c>
      <c r="M90" s="899">
        <f t="shared" ca="1" si="52"/>
        <v>79340</v>
      </c>
      <c r="N90" s="899">
        <f t="shared" ca="1" si="52"/>
        <v>72919</v>
      </c>
      <c r="O90" s="899">
        <f t="shared" ca="1" si="50"/>
        <v>84.750116225011624</v>
      </c>
      <c r="P90" s="899">
        <f t="shared" ca="1" si="51"/>
        <v>91.906982606503661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86040</v>
      </c>
      <c r="M91" s="893">
        <f t="shared" ca="1" si="53"/>
        <v>79340</v>
      </c>
      <c r="N91" s="893">
        <f t="shared" ca="1" si="53"/>
        <v>72919</v>
      </c>
      <c r="O91" s="893">
        <f t="shared" ca="1" si="50"/>
        <v>84.750116225011624</v>
      </c>
      <c r="P91" s="893">
        <f t="shared" ca="1" si="51"/>
        <v>91.906982606503661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IFERROR(__xludf.DUMMYFUNCTION("IMPORTRANGE(""https://docs.google.com/spreadsheets/d/1MeEWN-I1oV_STSDYn1IFDPWt_1FKiwhDph83XaGc0o0/edit?usp=sharing"",""งบพรบ!AQ48"")"),86040)</f>
        <v>86040</v>
      </c>
      <c r="M93" s="899">
        <f ca="1">IFERROR(__xludf.DUMMYFUNCTION("IMPORTRANGE(""https://docs.google.com/spreadsheets/d/1MeEWN-I1oV_STSDYn1IFDPWt_1FKiwhDph83XaGc0o0/edit?usp=sharing"",""งบพรบ!AV48"")"),79340)</f>
        <v>79340</v>
      </c>
      <c r="N93" s="899">
        <f ca="1">IFERROR(__xludf.DUMMYFUNCTION("IMPORTRANGE(""https://docs.google.com/spreadsheets/d/1MeEWN-I1oV_STSDYn1IFDPWt_1FKiwhDph83XaGc0o0/edit?usp=sharing"",""งบพรบ!AX48"")"),72919)</f>
        <v>72919</v>
      </c>
      <c r="O93" s="899">
        <f t="shared" ca="1" si="50"/>
        <v>84.750116225011624</v>
      </c>
      <c r="P93" s="899">
        <f t="shared" ca="1" si="51"/>
        <v>91.906982606503661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IFERROR(__xludf.DUMMYFUNCTION("IMPORTRANGE(""https://docs.google.com/spreadsheets/d/1MeEWN-I1oV_STSDYn1IFDPWt_1FKiwhDph83XaGc0o0/edit?usp=sharing"",""งบพรบ!AT48"")"),0)</f>
        <v>0</v>
      </c>
      <c r="M96" s="899">
        <f ca="1">IFERROR(__xludf.DUMMYFUNCTION("IMPORTRANGE(""https://docs.google.com/spreadsheets/d/1MeEWN-I1oV_STSDYn1IFDPWt_1FKiwhDph83XaGc0o0/edit?usp=sharing"",""งบพรบ!AW48"")"),0)</f>
        <v>0</v>
      </c>
      <c r="N96" s="899">
        <f ca="1">IFERROR(__xludf.DUMMYFUNCTION("IMPORTRANGE(""https://docs.google.com/spreadsheets/d/1MeEWN-I1oV_STSDYn1IFDPWt_1FKiwhDph83XaGc0o0/edit?usp=sharing"",""งบพรบ!AY48"")"),0)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IFERROR(__xludf.DUMMYFUNCTION("IMPORTRANGE(""https://docs.google.com/spreadsheets/d/1QqKyyYR6Q21VydFLVH3TRQUabQu_ym0Zz7PgGX0-kHA/edit?usp=sharing"",""แผน!K48"")"),30)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IFERROR(__xludf.DUMMYFUNCTION("IMPORTRANGE(""https://docs.google.com/spreadsheets/d/1QqKyyYR6Q21VydFLVH3TRQUabQu_ym0Zz7PgGX0-kHA/edit?usp=sharing"",""แผน!L48"")"),10)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IFERROR(__xludf.DUMMYFUNCTION("IMPORTRANGE(""https://docs.google.com/spreadsheets/d/1QqKyyYR6Q21VydFLVH3TRQUabQu_ym0Zz7PgGX0-kHA/edit?usp=sharing"",""แผน!M48"")"),2)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IFERROR(__xludf.DUMMYFUNCTION("IMPORTRANGE(""https://docs.google.com/spreadsheets/d/1QqKyyYR6Q21VydFLVH3TRQUabQu_ym0Zz7PgGX0-kHA/edit?usp=sharing"",""แผน!N48"")"),30)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IFERROR(__xludf.DUMMYFUNCTION("IMPORTRANGE(""https://docs.google.com/spreadsheets/d/1QqKyyYR6Q21VydFLVH3TRQUabQu_ym0Zz7PgGX0-kHA/edit?usp=sharing"",""แผน!O48"")"),10)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IFERROR(__xludf.DUMMYFUNCTION("IMPORTRANGE(""https://docs.google.com/spreadsheets/d/1QqKyyYR6Q21VydFLVH3TRQUabQu_ym0Zz7PgGX0-kHA/edit?usp=sharing"",""แผน!O48"")"),10)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IFERROR(__xludf.DUMMYFUNCTION("IMPORTRANGE(""https://docs.google.com/spreadsheets/d/1QqKyyYR6Q21VydFLVH3TRQUabQu_ym0Zz7PgGX0-kHA/edit?usp=sharing"",""แผน!P48"")"),1)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IFERROR(__xludf.DUMMYFUNCTION("IMPORTRANGE(""https://docs.google.com/spreadsheets/d/1QqKyyYR6Q21VydFLVH3TRQUabQu_ym0Zz7PgGX0-kHA/edit?usp=sharing"",""แผน!P48"")"),1)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IFERROR(__xludf.DUMMYFUNCTION("IMPORTRANGE(""https://docs.google.com/spreadsheets/d/1QqKyyYR6Q21VydFLVH3TRQUabQu_ym0Zz7PgGX0-kHA/edit?usp=sharing"",""แผน!Q48"")"),1)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IFERROR(__xludf.DUMMYFUNCTION("IMPORTRANGE(""https://docs.google.com/spreadsheets/d/1QqKyyYR6Q21VydFLVH3TRQUabQu_ym0Zz7PgGX0-kHA/edit?usp=sharing"",""แผน!Q48"")"),1)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IFERROR(__xludf.DUMMYFUNCTION("IMPORTRANGE(""https://docs.google.com/spreadsheets/d/1QqKyyYR6Q21VydFLVH3TRQUabQu_ym0Zz7PgGX0-kHA/edit?usp=sharing"",""แผน!R48"")"),10)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IFERROR(__xludf.DUMMYFUNCTION("IMPORTRANGE(""https://docs.google.com/spreadsheets/d/1QqKyyYR6Q21VydFLVH3TRQUabQu_ym0Zz7PgGX0-kHA/edit?usp=sharing"",""แผน!R48"")"),10)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IFERROR(__xludf.DUMMYFUNCTION("IMPORTRANGE(""https://docs.google.com/spreadsheets/d/1QqKyyYR6Q21VydFLVH3TRQUabQu_ym0Zz7PgGX0-kHA/edit?usp=sharing"",""แผน!R48"")"),10)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IFERROR(__xludf.DUMMYFUNCTION("IMPORTRANGE(""https://docs.google.com/spreadsheets/d/1QqKyyYR6Q21VydFLVH3TRQUabQu_ym0Zz7PgGX0-kHA/edit?usp=sharing"",""แผน!S48"")"),1)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IFERROR(__xludf.DUMMYFUNCTION("IMPORTRANGE(""https://docs.google.com/spreadsheets/d/1QqKyyYR6Q21VydFLVH3TRQUabQu_ym0Zz7PgGX0-kHA/edit?usp=sharing"",""แผน!T48"")"),1)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>
      <c r="A118" s="989"/>
      <c r="B118" s="990" t="s">
        <v>65</v>
      </c>
      <c r="C118" s="1038"/>
      <c r="D118" s="992"/>
      <c r="E118" s="991"/>
      <c r="F118" s="991"/>
      <c r="G118" s="993"/>
      <c r="H118" s="205" t="s">
        <v>66</v>
      </c>
      <c r="I118" s="1039">
        <v>1</v>
      </c>
      <c r="J118" s="1039">
        <f>J440</f>
        <v>1</v>
      </c>
      <c r="K118" s="996">
        <f>IF(I118&gt;0,J118*100/I118,0)</f>
        <v>100</v>
      </c>
      <c r="L118" s="996"/>
      <c r="M118" s="996"/>
      <c r="N118" s="996"/>
      <c r="O118" s="996"/>
      <c r="P118" s="996"/>
    </row>
    <row r="119" spans="1:26" ht="19.5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252000</v>
      </c>
      <c r="M119" s="1004">
        <f t="shared" ca="1" si="60"/>
        <v>251985</v>
      </c>
      <c r="N119" s="1004">
        <f t="shared" ca="1" si="60"/>
        <v>251985</v>
      </c>
      <c r="O119" s="1004">
        <f t="shared" ref="O119:O127" ca="1" si="61">IF(L119&gt;0,N119*100/L119,0)</f>
        <v>99.99404761904762</v>
      </c>
      <c r="P119" s="1004">
        <f t="shared" ref="P119:P127" ca="1" si="62">IF(M119&gt;0,N119*100/M119,0)</f>
        <v>100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252000</v>
      </c>
      <c r="M121" s="899">
        <f t="shared" ca="1" si="63"/>
        <v>251985</v>
      </c>
      <c r="N121" s="899">
        <f t="shared" ca="1" si="63"/>
        <v>251985</v>
      </c>
      <c r="O121" s="899">
        <f t="shared" ca="1" si="61"/>
        <v>99.99404761904762</v>
      </c>
      <c r="P121" s="899">
        <f t="shared" ca="1" si="62"/>
        <v>100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IFERROR(__xludf.DUMMYFUNCTION("IMPORTRANGE(""https://docs.google.com/spreadsheets/d/1MeEWN-I1oV_STSDYn1IFDPWt_1FKiwhDph83XaGc0o0/edit?usp=sharing"",""งบพรบ!BA48"")"),0)</f>
        <v>0</v>
      </c>
      <c r="M124" s="899">
        <f ca="1">IFERROR(__xludf.DUMMYFUNCTION("IMPORTRANGE(""https://docs.google.com/spreadsheets/d/1MeEWN-I1oV_STSDYn1IFDPWt_1FKiwhDph83XaGc0o0/edit?usp=sharing"",""งบพรบ!BF48"")"),0)</f>
        <v>0</v>
      </c>
      <c r="N124" s="899">
        <f ca="1">IFERROR(__xludf.DUMMYFUNCTION("IMPORTRANGE(""https://docs.google.com/spreadsheets/d/1MeEWN-I1oV_STSDYn1IFDPWt_1FKiwhDph83XaGc0o0/edit?usp=sharing"",""งบพรบ!BH48"")"),0)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252000</v>
      </c>
      <c r="M125" s="893">
        <f t="shared" ca="1" si="65"/>
        <v>251985</v>
      </c>
      <c r="N125" s="893">
        <f t="shared" ca="1" si="65"/>
        <v>251985</v>
      </c>
      <c r="O125" s="893">
        <f t="shared" ca="1" si="61"/>
        <v>99.99404761904762</v>
      </c>
      <c r="P125" s="893">
        <f t="shared" ca="1" si="62"/>
        <v>100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IFERROR(__xludf.DUMMYFUNCTION("IMPORTRANGE(""https://docs.google.com/spreadsheets/d/1MeEWN-I1oV_STSDYn1IFDPWt_1FKiwhDph83XaGc0o0/edit?usp=sharing"",""งบพรบ!BD48"")"),252000)</f>
        <v>252000</v>
      </c>
      <c r="M127" s="899">
        <f ca="1">IFERROR(__xludf.DUMMYFUNCTION("IMPORTRANGE(""https://docs.google.com/spreadsheets/d/1MeEWN-I1oV_STSDYn1IFDPWt_1FKiwhDph83XaGc0o0/edit?usp=sharing"",""งบพรบ!BG48"")"),251985)</f>
        <v>251985</v>
      </c>
      <c r="N127" s="899">
        <f ca="1">IFERROR(__xludf.DUMMYFUNCTION("IMPORTRANGE(""https://docs.google.com/spreadsheets/d/1MeEWN-I1oV_STSDYn1IFDPWt_1FKiwhDph83XaGc0o0/edit?usp=sharing"",""งบพรบ!BI48"")"),251985)</f>
        <v>251985</v>
      </c>
      <c r="O127" s="899">
        <f t="shared" ca="1" si="61"/>
        <v>99.99404761904762</v>
      </c>
      <c r="P127" s="899">
        <f t="shared" ca="1" si="62"/>
        <v>100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IFERROR(__xludf.DUMMYFUNCTION("IMPORTRANGE(""https://docs.google.com/spreadsheets/d/1MeEWN-I1oV_STSDYn1IFDPWt_1FKiwhDph83XaGc0o0/edit?usp=sharing"",""งบพรบ!BK48"")"),0)</f>
        <v>0</v>
      </c>
      <c r="M137" s="899">
        <f ca="1">IFERROR(__xludf.DUMMYFUNCTION("IMPORTRANGE(""https://docs.google.com/spreadsheets/d/1MeEWN-I1oV_STSDYn1IFDPWt_1FKiwhDph83XaGc0o0/edit?usp=sharing"",""งบพรบ!BP48"")"),0)</f>
        <v>0</v>
      </c>
      <c r="N137" s="899">
        <f ca="1">IFERROR(__xludf.DUMMYFUNCTION("IMPORTRANGE(""https://docs.google.com/spreadsheets/d/1MeEWN-I1oV_STSDYn1IFDPWt_1FKiwhDph83XaGc0o0/edit?usp=sharing"",""งบพรบ!BR48"")"),0)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IFERROR(__xludf.DUMMYFUNCTION("IMPORTRANGE(""https://docs.google.com/spreadsheets/d/1MeEWN-I1oV_STSDYn1IFDPWt_1FKiwhDph83XaGc0o0/edit?usp=sharing"",""งบพรบ!BN48"")"),0)</f>
        <v>0</v>
      </c>
      <c r="M140" s="899">
        <f ca="1">IFERROR(__xludf.DUMMYFUNCTION("IMPORTRANGE(""https://docs.google.com/spreadsheets/d/1MeEWN-I1oV_STSDYn1IFDPWt_1FKiwhDph83XaGc0o0/edit?usp=sharing"",""งบพรบ!BQ48"")"),0)</f>
        <v>0</v>
      </c>
      <c r="N140" s="899">
        <f ca="1">IFERROR(__xludf.DUMMYFUNCTION("IMPORTRANGE(""https://docs.google.com/spreadsheets/d/1MeEWN-I1oV_STSDYn1IFDPWt_1FKiwhDph83XaGc0o0/edit?usp=sharing"",""งบพรบ!BS48"")"),0)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IFERROR(__xludf.DUMMYFUNCTION("IMPORTRANGE(""https://docs.google.com/spreadsheets/d/1QqKyyYR6Q21VydFLVH3TRQUabQu_ym0Zz7PgGX0-kHA/edit?usp=sharing"",""แผน!U48"")"),0)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IFERROR(__xludf.DUMMYFUNCTION("IMPORTRANGE(""https://docs.google.com/spreadsheets/d/1QqKyyYR6Q21VydFLVH3TRQUabQu_ym0Zz7PgGX0-kHA/edit?usp=sharing"",""แผน!V48"")"),0)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IFERROR(__xludf.DUMMYFUNCTION("IMPORTRANGE(""https://docs.google.com/spreadsheets/d/1QqKyyYR6Q21VydFLVH3TRQUabQu_ym0Zz7PgGX0-kHA/edit?usp=sharing"",""แผน!W48"")"),0)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IFERROR(__xludf.DUMMYFUNCTION("IMPORTRANGE(""https://docs.google.com/spreadsheets/d/1MeEWN-I1oV_STSDYn1IFDPWt_1FKiwhDph83XaGc0o0/edit?usp=sharing"",""งบพรบ!BU48"")"),0)</f>
        <v>0</v>
      </c>
      <c r="M154" s="899">
        <f ca="1">IFERROR(__xludf.DUMMYFUNCTION("IMPORTRANGE(""https://docs.google.com/spreadsheets/d/1MeEWN-I1oV_STSDYn1IFDPWt_1FKiwhDph83XaGc0o0/edit?usp=sharing"",""งบพรบ!BZ48"")"),0)</f>
        <v>0</v>
      </c>
      <c r="N154" s="899">
        <f ca="1">IFERROR(__xludf.DUMMYFUNCTION("IMPORTRANGE(""https://docs.google.com/spreadsheets/d/1MeEWN-I1oV_STSDYn1IFDPWt_1FKiwhDph83XaGc0o0/edit?usp=sharing"",""งบพรบ!CB48"")"),0)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IFERROR(__xludf.DUMMYFUNCTION("IMPORTRANGE(""https://docs.google.com/spreadsheets/d/1MeEWN-I1oV_STSDYn1IFDPWt_1FKiwhDph83XaGc0o0/edit?usp=sharing"",""งบพรบ!BX48"")"),0)</f>
        <v>0</v>
      </c>
      <c r="M157" s="899">
        <f ca="1">IFERROR(__xludf.DUMMYFUNCTION("IMPORTRANGE(""https://docs.google.com/spreadsheets/d/1MeEWN-I1oV_STSDYn1IFDPWt_1FKiwhDph83XaGc0o0/edit?usp=sharing"",""งบพรบ!CA48"")"),0)</f>
        <v>0</v>
      </c>
      <c r="N157" s="899">
        <f ca="1">IFERROR(__xludf.DUMMYFUNCTION("IMPORTRANGE(""https://docs.google.com/spreadsheets/d/1MeEWN-I1oV_STSDYn1IFDPWt_1FKiwhDph83XaGc0o0/edit?usp=sharing"",""งบพรบ!CC48"")"),0)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IFERROR(__xludf.DUMMYFUNCTION("IMPORTRANGE(""https://docs.google.com/spreadsheets/d/1QqKyyYR6Q21VydFLVH3TRQUabQu_ym0Zz7PgGX0-kHA/edit?usp=sharing"",""แผน!X48"")"),0)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23060</v>
      </c>
      <c r="N165" s="1004">
        <f t="shared" ca="1" si="84"/>
        <v>23060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23060</v>
      </c>
      <c r="N167" s="899">
        <f t="shared" ca="1" si="87"/>
        <v>23060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23060</v>
      </c>
      <c r="N168" s="893">
        <f t="shared" ca="1" si="88"/>
        <v>23060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IFERROR(__xludf.DUMMYFUNCTION("IMPORTRANGE(""https://docs.google.com/spreadsheets/d/1MeEWN-I1oV_STSDYn1IFDPWt_1FKiwhDph83XaGc0o0/edit?usp=sharing"",""งบพรบ!CE48"")"),23060)</f>
        <v>23060</v>
      </c>
      <c r="M170" s="899">
        <f ca="1">IFERROR(__xludf.DUMMYFUNCTION("IMPORTRANGE(""https://docs.google.com/spreadsheets/d/1MeEWN-I1oV_STSDYn1IFDPWt_1FKiwhDph83XaGc0o0/edit?usp=sharing"",""งบพรบ!CJ48"")"),23060)</f>
        <v>23060</v>
      </c>
      <c r="N170" s="899">
        <f ca="1">IFERROR(__xludf.DUMMYFUNCTION("IMPORTRANGE(""https://docs.google.com/spreadsheets/d/1MeEWN-I1oV_STSDYn1IFDPWt_1FKiwhDph83XaGc0o0/edit?usp=sharing"",""งบพรบ!CL48"")"),23060)</f>
        <v>23060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IFERROR(__xludf.DUMMYFUNCTION("IMPORTRANGE(""https://docs.google.com/spreadsheets/d/1MeEWN-I1oV_STSDYn1IFDPWt_1FKiwhDph83XaGc0o0/edit?usp=sharing"",""งบพรบ!CH48"")"),0)</f>
        <v>0</v>
      </c>
      <c r="M173" s="899">
        <f ca="1">IFERROR(__xludf.DUMMYFUNCTION("IMPORTRANGE(""https://docs.google.com/spreadsheets/d/1MeEWN-I1oV_STSDYn1IFDPWt_1FKiwhDph83XaGc0o0/edit?usp=sharing"",""งบพรบ!CK48"")"),0)</f>
        <v>0</v>
      </c>
      <c r="N173" s="899">
        <f ca="1">IFERROR(__xludf.DUMMYFUNCTION("IMPORTRANGE(""https://docs.google.com/spreadsheets/d/1MeEWN-I1oV_STSDYn1IFDPWt_1FKiwhDph83XaGc0o0/edit?usp=sharing"",""งบพรบ!CM48"")"),0)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IFERROR(__xludf.DUMMYFUNCTION("IMPORTRANGE(""https://docs.google.com/spreadsheets/d/1QqKyyYR6Q21VydFLVH3TRQUabQu_ym0Zz7PgGX0-kHA/edit?usp=sharing"",""แผน!Y48"")"),12)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10</v>
      </c>
      <c r="J180" s="1073">
        <f t="shared" si="91"/>
        <v>10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413500</v>
      </c>
      <c r="M181" s="1004">
        <f t="shared" ca="1" si="92"/>
        <v>327750</v>
      </c>
      <c r="N181" s="1004">
        <f t="shared" ca="1" si="92"/>
        <v>267340.87</v>
      </c>
      <c r="O181" s="1004">
        <f t="shared" ref="O181:O189" ca="1" si="93">IF(L181&gt;0,N181*100/L181,0)</f>
        <v>64.653172914147518</v>
      </c>
      <c r="P181" s="1004">
        <f t="shared" ref="P181:P189" ca="1" si="94">IF(M181&gt;0,N181*100/M181,0)</f>
        <v>81.568533943554542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413500</v>
      </c>
      <c r="M183" s="899">
        <f t="shared" ca="1" si="95"/>
        <v>327750</v>
      </c>
      <c r="N183" s="899">
        <f t="shared" ca="1" si="95"/>
        <v>267340.87</v>
      </c>
      <c r="O183" s="899">
        <f t="shared" ca="1" si="93"/>
        <v>64.653172914147518</v>
      </c>
      <c r="P183" s="899">
        <f t="shared" ca="1" si="94"/>
        <v>81.568533943554542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413500</v>
      </c>
      <c r="M184" s="893">
        <f t="shared" ca="1" si="96"/>
        <v>327750</v>
      </c>
      <c r="N184" s="893">
        <f t="shared" ca="1" si="96"/>
        <v>267340.87</v>
      </c>
      <c r="O184" s="893">
        <f t="shared" ca="1" si="93"/>
        <v>64.653172914147518</v>
      </c>
      <c r="P184" s="893">
        <f t="shared" ca="1" si="94"/>
        <v>81.568533943554542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IFERROR(__xludf.DUMMYFUNCTION("IMPORTRANGE(""https://docs.google.com/spreadsheets/d/1MeEWN-I1oV_STSDYn1IFDPWt_1FKiwhDph83XaGc0o0/edit?usp=sharing"",""งบพรบ!CO48"")"),413500)</f>
        <v>413500</v>
      </c>
      <c r="M186" s="899">
        <f ca="1">IFERROR(__xludf.DUMMYFUNCTION("IMPORTRANGE(""https://docs.google.com/spreadsheets/d/1MeEWN-I1oV_STSDYn1IFDPWt_1FKiwhDph83XaGc0o0/edit?usp=sharing"",""งบพรบ!CT48"")"),327750)</f>
        <v>327750</v>
      </c>
      <c r="N186" s="899">
        <f ca="1">IFERROR(__xludf.DUMMYFUNCTION("IMPORTRANGE(""https://docs.google.com/spreadsheets/d/1MeEWN-I1oV_STSDYn1IFDPWt_1FKiwhDph83XaGc0o0/edit?usp=sharing"",""งบพรบ!CV48"")"),267340.87)</f>
        <v>267340.87</v>
      </c>
      <c r="O186" s="899">
        <f t="shared" ca="1" si="93"/>
        <v>64.653172914147518</v>
      </c>
      <c r="P186" s="899">
        <f t="shared" ca="1" si="94"/>
        <v>81.568533943554542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IFERROR(__xludf.DUMMYFUNCTION("IMPORTRANGE(""https://docs.google.com/spreadsheets/d/1MeEWN-I1oV_STSDYn1IFDPWt_1FKiwhDph83XaGc0o0/edit?usp=sharing"",""งบพรบ!CR48"")"),0)</f>
        <v>0</v>
      </c>
      <c r="M189" s="899">
        <f ca="1">IFERROR(__xludf.DUMMYFUNCTION("IMPORTRANGE(""https://docs.google.com/spreadsheets/d/1MeEWN-I1oV_STSDYn1IFDPWt_1FKiwhDph83XaGc0o0/edit?usp=sharing"",""งบพรบ!CU48"")"),0)</f>
        <v>0</v>
      </c>
      <c r="N189" s="899">
        <f ca="1">IFERROR(__xludf.DUMMYFUNCTION("IMPORTRANGE(""https://docs.google.com/spreadsheets/d/1MeEWN-I1oV_STSDYn1IFDPWt_1FKiwhDph83XaGc0o0/edit?usp=sharing"",""งบพรบ!CW48"")"),0)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IFERROR(__xludf.DUMMYFUNCTION("IMPORTRANGE(""https://docs.google.com/spreadsheets/d/1QqKyyYR6Q21VydFLVH3TRQUabQu_ym0Zz7PgGX0-kHA/edit?usp=sharing"",""แผน!Z48"")"),6000)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IFERROR(__xludf.DUMMYFUNCTION("IMPORTRANGE(""https://docs.google.com/spreadsheets/d/1QqKyyYR6Q21VydFLVH3TRQUabQu_ym0Zz7PgGX0-kHA/edit?usp=sharing"",""แผน!AC48"")"),4)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32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32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26816</v>
      </c>
      <c r="O198" s="1004">
        <f ca="1">IF(L198&gt;0,N198*100/L198,0)</f>
        <v>68.758974358974356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IFERROR(__xludf.DUMMYFUNCTION("IMPORTRANGE(""https://docs.google.com/spreadsheets/d/1QqKyyYR6Q21VydFLVH3TRQUabQu_ym0Zz7PgGX0-kHA/edit?usp=sharing"",""แผน!AE48"")"),3000)</f>
        <v>3000</v>
      </c>
      <c r="M199" s="893"/>
      <c r="N199" s="1096">
        <v>3000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IFERROR(__xludf.DUMMYFUNCTION("IMPORTRANGE(""https://docs.google.com/spreadsheets/d/1QqKyyYR6Q21VydFLVH3TRQUabQu_ym0Zz7PgGX0-kHA/edit?usp=sharing"",""แผน!AF48"")"),24000)</f>
        <v>24000</v>
      </c>
      <c r="M200" s="893"/>
      <c r="N200" s="1096">
        <v>23816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IFERROR(__xludf.DUMMYFUNCTION("IMPORTRANGE(""https://docs.google.com/spreadsheets/d/1QqKyyYR6Q21VydFLVH3TRQUabQu_ym0Zz7PgGX0-kHA/edit?usp=sharing"",""แผน!AG48"")"),12000)</f>
        <v>12000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IFERROR(__xludf.DUMMYFUNCTION("IMPORTRANGE(""https://docs.google.com/spreadsheets/d/1QqKyyYR6Q21VydFLVH3TRQUabQu_ym0Zz7PgGX0-kHA/edit?usp=sharing"",""แผน!AH48"")"),0)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IFERROR(__xludf.DUMMYFUNCTION("IMPORTRANGE(""https://docs.google.com/spreadsheets/d/1QqKyyYR6Q21VydFLVH3TRQUabQu_ym0Zz7PgGX0-kHA/edit?usp=sharing"",""แผน!AI48"")"),3)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/>
      <c r="K206" s="1010">
        <f t="shared" ref="K206:K208" si="100">IF(I206&gt;0,J206*100/I206,0)</f>
        <v>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3</v>
      </c>
      <c r="J208" s="1089">
        <f t="shared" si="101"/>
        <v>3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42000</v>
      </c>
      <c r="M209" s="1004"/>
      <c r="N209" s="1004">
        <f>N210+N211+N212</f>
        <v>27000</v>
      </c>
      <c r="O209" s="1004">
        <f ca="1">IF(L209&gt;0,N209*100/L209,0)</f>
        <v>64.285714285714292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IFERROR(__xludf.DUMMYFUNCTION("IMPORTRANGE(""https://docs.google.com/spreadsheets/d/1QqKyyYR6Q21VydFLVH3TRQUabQu_ym0Zz7PgGX0-kHA/edit?usp=sharing"",""แผน!AK48"")"),3000)</f>
        <v>3000</v>
      </c>
      <c r="M210" s="893"/>
      <c r="N210" s="1096">
        <v>3000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IFERROR(__xludf.DUMMYFUNCTION("IMPORTRANGE(""https://docs.google.com/spreadsheets/d/1QqKyyYR6Q21VydFLVH3TRQUabQu_ym0Zz7PgGX0-kHA/edit?usp=sharing"",""แผน!AL48"")"),15000)</f>
        <v>15000</v>
      </c>
      <c r="M211" s="893"/>
      <c r="N211" s="1096">
        <v>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IFERROR(__xludf.DUMMYFUNCTION("IMPORTRANGE(""https://docs.google.com/spreadsheets/d/1QqKyyYR6Q21VydFLVH3TRQUabQu_ym0Zz7PgGX0-kHA/edit?usp=sharing"",""แผน!AM48"")"),24000)</f>
        <v>24000</v>
      </c>
      <c r="M212" s="893"/>
      <c r="N212" s="1096">
        <v>24000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IFERROR(__xludf.DUMMYFUNCTION("IMPORTRANGE(""https://docs.google.com/spreadsheets/d/1QqKyyYR6Q21VydFLVH3TRQUabQu_ym0Zz7PgGX0-kHA/edit?usp=sharing"",""แผน!AN48"")"),3)</f>
        <v>3</v>
      </c>
      <c r="J214" s="1024">
        <v>0</v>
      </c>
      <c r="K214" s="893">
        <f t="shared" ref="K214:K216" ca="1" si="102">IF(I214&gt;0,J214*100/I214,0)</f>
        <v>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IFERROR(__xludf.DUMMYFUNCTION("IMPORTRANGE(""https://docs.google.com/spreadsheets/d/1QqKyyYR6Q21VydFLVH3TRQUabQu_ym0Zz7PgGX0-kHA/edit?usp=sharing"",""แผน!AN48"")"),3)</f>
        <v>3</v>
      </c>
      <c r="J215" s="1024">
        <v>3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16500</v>
      </c>
      <c r="M217" s="1004"/>
      <c r="N217" s="1004">
        <f>N218+N219+N220</f>
        <v>9535</v>
      </c>
      <c r="O217" s="1004">
        <f ca="1">IF(L217&gt;0,N217*100/L217,0)</f>
        <v>57.787878787878789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IFERROR(__xludf.DUMMYFUNCTION("IMPORTRANGE(""https://docs.google.com/spreadsheets/d/1QqKyyYR6Q21VydFLVH3TRQUabQu_ym0Zz7PgGX0-kHA/edit?usp=sharing"",""แผน!AP48"")"),3000)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IFERROR(__xludf.DUMMYFUNCTION("IMPORTRANGE(""https://docs.google.com/spreadsheets/d/1QqKyyYR6Q21VydFLVH3TRQUabQu_ym0Zz7PgGX0-kHA/edit?usp=sharing"",""แผน!AQ48"")"),3500)</f>
        <v>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IFERROR(__xludf.DUMMYFUNCTION("IMPORTRANGE(""https://docs.google.com/spreadsheets/d/1QqKyyYR6Q21VydFLVH3TRQUabQu_ym0Zz7PgGX0-kHA/edit?usp=sharing"",""แผน!AR48"")"),10000)</f>
        <v>10000</v>
      </c>
      <c r="M220" s="893"/>
      <c r="N220" s="1096">
        <v>9535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IFERROR(__xludf.DUMMYFUNCTION("IMPORTRANGE(""https://docs.google.com/spreadsheets/d/1QqKyyYR6Q21VydFLVH3TRQUabQu_ym0Zz7PgGX0-kHA/edit?usp=sharing"",""แผน!AT48"")"),10000)</f>
        <v>10000</v>
      </c>
      <c r="J223" s="1024">
        <v>10000</v>
      </c>
      <c r="K223" s="1010">
        <f t="shared" ref="K223:K226" ca="1" si="104">IF(I223&gt;0,J223*100/I223,0)</f>
        <v>100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IFERROR(__xludf.DUMMYFUNCTION("IMPORTRANGE(""https://docs.google.com/spreadsheets/d/1QqKyyYR6Q21VydFLVH3TRQUabQu_ym0Zz7PgGX0-kHA/edit?usp=sharing"",""แผน!AT48"")"),10000)</f>
        <v>10000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IFERROR(__xludf.DUMMYFUNCTION("IMPORTRANGE(""https://docs.google.com/spreadsheets/d/1QqKyyYR6Q21VydFLVH3TRQUabQu_ym0Zz7PgGX0-kHA/edit?usp=sharing"",""แผน!AS48"")"),10)</f>
        <v>10</v>
      </c>
      <c r="J225" s="1024">
        <v>10</v>
      </c>
      <c r="K225" s="1010">
        <f t="shared" ca="1" si="104"/>
        <v>100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IFERROR(__xludf.DUMMYFUNCTION("IMPORTRANGE(""https://docs.google.com/spreadsheets/d/1QqKyyYR6Q21VydFLVH3TRQUabQu_ym0Zz7PgGX0-kHA/edit?usp=sharing"",""แผน!AV48"")"),0)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IFERROR(__xludf.DUMMYFUNCTION("IMPORTRANGE(""https://docs.google.com/spreadsheets/d/1QqKyyYR6Q21VydFLVH3TRQUabQu_ym0Zz7PgGX0-kHA/edit?usp=sharing"",""แผน!AW48"")"),0)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IFERROR(__xludf.DUMMYFUNCTION("IMPORTRANGE(""https://docs.google.com/spreadsheets/d/1QqKyyYR6Q21VydFLVH3TRQUabQu_ym0Zz7PgGX0-kHA/edit?usp=sharing"",""แผน!AX48"")"),0)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IFERROR(__xludf.DUMMYFUNCTION("IMPORTRANGE(""https://docs.google.com/spreadsheets/d/1QqKyyYR6Q21VydFLVH3TRQUabQu_ym0Zz7PgGX0-kHA/edit?usp=sharing"",""แผน!AY48"")"),0)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IFERROR(__xludf.DUMMYFUNCTION("IMPORTRANGE(""https://docs.google.com/spreadsheets/d/1QqKyyYR6Q21VydFLVH3TRQUabQu_ym0Zz7PgGX0-kHA/edit?usp=sharing"",""แผน!BE48"")"),0)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IFERROR(__xludf.DUMMYFUNCTION("IMPORTRANGE(""https://docs.google.com/spreadsheets/d/1QqKyyYR6Q21VydFLVH3TRQUabQu_ym0Zz7PgGX0-kHA/edit?usp=sharing"",""แผน!AZ48"")"),0)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IFERROR(__xludf.DUMMYFUNCTION("IMPORTRANGE(""https://docs.google.com/spreadsheets/d/1QqKyyYR6Q21VydFLVH3TRQUabQu_ym0Zz7PgGX0-kHA/edit?usp=sharing"",""แผน!BA48"")"),0)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IFERROR(__xludf.DUMMYFUNCTION("IMPORTRANGE(""https://docs.google.com/spreadsheets/d/1QqKyyYR6Q21VydFLVH3TRQUabQu_ym0Zz7PgGX0-kHA/edit?usp=sharing"",""แผน!BB48"")"),0)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IFERROR(__xludf.DUMMYFUNCTION("IMPORTRANGE(""https://docs.google.com/spreadsheets/d/1QqKyyYR6Q21VydFLVH3TRQUabQu_ym0Zz7PgGX0-kHA/edit?usp=sharing"",""แผน!BC48"")"),0)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IFERROR(__xludf.DUMMYFUNCTION("IMPORTRANGE(""https://docs.google.com/spreadsheets/d/1QqKyyYR6Q21VydFLVH3TRQUabQu_ym0Zz7PgGX0-kHA/edit?usp=sharing"",""แผน!BF48"")"),0)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22</v>
      </c>
      <c r="J260" s="1073">
        <f t="shared" si="115"/>
        <v>22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26900</v>
      </c>
      <c r="M261" s="1004">
        <f t="shared" ca="1" si="116"/>
        <v>23900</v>
      </c>
      <c r="N261" s="1004">
        <f t="shared" ca="1" si="116"/>
        <v>23183.5</v>
      </c>
      <c r="O261" s="1004">
        <f t="shared" ref="O261:O269" ca="1" si="117">IF(L261&gt;0,N261*100/L261,0)</f>
        <v>86.184014869888472</v>
      </c>
      <c r="P261" s="1004">
        <f t="shared" ref="P261:P269" ca="1" si="118">IF(M261&gt;0,N261*100/M261,0)</f>
        <v>97.0020920502092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26900</v>
      </c>
      <c r="M263" s="899">
        <f t="shared" ca="1" si="119"/>
        <v>23900</v>
      </c>
      <c r="N263" s="899">
        <f t="shared" ca="1" si="119"/>
        <v>23183.5</v>
      </c>
      <c r="O263" s="899">
        <f t="shared" ca="1" si="117"/>
        <v>86.184014869888472</v>
      </c>
      <c r="P263" s="899">
        <f t="shared" ca="1" si="118"/>
        <v>97.0020920502092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26900</v>
      </c>
      <c r="M264" s="893">
        <f t="shared" ca="1" si="120"/>
        <v>23900</v>
      </c>
      <c r="N264" s="893">
        <f t="shared" ca="1" si="120"/>
        <v>23183.5</v>
      </c>
      <c r="O264" s="893">
        <f t="shared" ca="1" si="117"/>
        <v>86.184014869888472</v>
      </c>
      <c r="P264" s="893">
        <f t="shared" ca="1" si="118"/>
        <v>97.0020920502092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IFERROR(__xludf.DUMMYFUNCTION("IMPORTRANGE(""https://docs.google.com/spreadsheets/d/1MeEWN-I1oV_STSDYn1IFDPWt_1FKiwhDph83XaGc0o0/edit?usp=sharing"",""งบพรบ!CY48"")"),26900)</f>
        <v>26900</v>
      </c>
      <c r="M266" s="899">
        <f ca="1">IFERROR(__xludf.DUMMYFUNCTION("IMPORTRANGE(""https://docs.google.com/spreadsheets/d/1MeEWN-I1oV_STSDYn1IFDPWt_1FKiwhDph83XaGc0o0/edit?usp=sharing"",""งบพรบ!DD48"")"),23900)</f>
        <v>23900</v>
      </c>
      <c r="N266" s="899">
        <f ca="1">IFERROR(__xludf.DUMMYFUNCTION("IMPORTRANGE(""https://docs.google.com/spreadsheets/d/1MeEWN-I1oV_STSDYn1IFDPWt_1FKiwhDph83XaGc0o0/edit?usp=sharing"",""งบพรบ!DF48"")"),23183.5)</f>
        <v>23183.5</v>
      </c>
      <c r="O266" s="899">
        <f t="shared" ca="1" si="117"/>
        <v>86.184014869888472</v>
      </c>
      <c r="P266" s="899">
        <f t="shared" ca="1" si="118"/>
        <v>97.0020920502092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IFERROR(__xludf.DUMMYFUNCTION("IMPORTRANGE(""https://docs.google.com/spreadsheets/d/1MeEWN-I1oV_STSDYn1IFDPWt_1FKiwhDph83XaGc0o0/edit?usp=sharing"",""งบพรบ!DB48"")"),0)</f>
        <v>0</v>
      </c>
      <c r="M269" s="899">
        <f ca="1">IFERROR(__xludf.DUMMYFUNCTION("IMPORTRANGE(""https://docs.google.com/spreadsheets/d/1MeEWN-I1oV_STSDYn1IFDPWt_1FKiwhDph83XaGc0o0/edit?usp=sharing"",""งบพรบ!DE48"")"),0)</f>
        <v>0</v>
      </c>
      <c r="N269" s="899">
        <f ca="1">IFERROR(__xludf.DUMMYFUNCTION("IMPORTRANGE(""https://docs.google.com/spreadsheets/d/1MeEWN-I1oV_STSDYn1IFDPWt_1FKiwhDph83XaGc0o0/edit?usp=sharing"",""งบพรบ!DG48"")"),0)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IFERROR(__xludf.DUMMYFUNCTION("IMPORTRANGE(""https://docs.google.com/spreadsheets/d/1QqKyyYR6Q21VydFLVH3TRQUabQu_ym0Zz7PgGX0-kHA/edit?usp=sharing"",""แผน!EA48"")"),22)</f>
        <v>22</v>
      </c>
      <c r="J271" s="1024">
        <v>22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30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0">
        <f t="shared" ref="I276:J276" ca="1" si="124">I287</f>
        <v>300</v>
      </c>
      <c r="J276" s="1170">
        <f t="shared" si="124"/>
        <v>300</v>
      </c>
      <c r="K276" s="1171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111710</v>
      </c>
      <c r="M277" s="1004">
        <f t="shared" ca="1" si="125"/>
        <v>54530</v>
      </c>
      <c r="N277" s="1004">
        <f t="shared" ca="1" si="125"/>
        <v>49435</v>
      </c>
      <c r="O277" s="1004">
        <f t="shared" ref="O277:O285" ca="1" si="126">IF(L277&gt;0,N277*100/L277,0)</f>
        <v>44.252976456897322</v>
      </c>
      <c r="P277" s="1004">
        <f t="shared" ref="P277:P285" ca="1" si="127">IF(M277&gt;0,N277*100/M277,0)</f>
        <v>90.656519347148361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111710</v>
      </c>
      <c r="M279" s="899">
        <f t="shared" ca="1" si="128"/>
        <v>54530</v>
      </c>
      <c r="N279" s="899">
        <f t="shared" ca="1" si="128"/>
        <v>49435</v>
      </c>
      <c r="O279" s="899">
        <f t="shared" ca="1" si="126"/>
        <v>44.252976456897322</v>
      </c>
      <c r="P279" s="899">
        <f t="shared" ca="1" si="127"/>
        <v>90.656519347148361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111710</v>
      </c>
      <c r="M280" s="893">
        <f t="shared" ca="1" si="129"/>
        <v>54530</v>
      </c>
      <c r="N280" s="893">
        <f t="shared" ca="1" si="129"/>
        <v>49435</v>
      </c>
      <c r="O280" s="893">
        <f t="shared" ca="1" si="126"/>
        <v>44.252976456897322</v>
      </c>
      <c r="P280" s="893">
        <f t="shared" ca="1" si="127"/>
        <v>90.656519347148361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IFERROR(__xludf.DUMMYFUNCTION("IMPORTRANGE(""https://docs.google.com/spreadsheets/d/1MeEWN-I1oV_STSDYn1IFDPWt_1FKiwhDph83XaGc0o0/edit?usp=sharing"",""งบพรบ!DI48"")"),111710)</f>
        <v>111710</v>
      </c>
      <c r="M282" s="899">
        <f ca="1">IFERROR(__xludf.DUMMYFUNCTION("IMPORTRANGE(""https://docs.google.com/spreadsheets/d/1MeEWN-I1oV_STSDYn1IFDPWt_1FKiwhDph83XaGc0o0/edit?usp=sharing"",""งบพรบ!DN48"")"),54530)</f>
        <v>54530</v>
      </c>
      <c r="N282" s="899">
        <f ca="1">IFERROR(__xludf.DUMMYFUNCTION("IMPORTRANGE(""https://docs.google.com/spreadsheets/d/1MeEWN-I1oV_STSDYn1IFDPWt_1FKiwhDph83XaGc0o0/edit?usp=sharing"",""งบพรบ!DP48"")"),49435)</f>
        <v>49435</v>
      </c>
      <c r="O282" s="899">
        <f t="shared" ca="1" si="126"/>
        <v>44.252976456897322</v>
      </c>
      <c r="P282" s="899">
        <f t="shared" ca="1" si="127"/>
        <v>90.656519347148361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IFERROR(__xludf.DUMMYFUNCTION("IMPORTRANGE(""https://docs.google.com/spreadsheets/d/1MeEWN-I1oV_STSDYn1IFDPWt_1FKiwhDph83XaGc0o0/edit?usp=sharing"",""งบพรบ!DL48"")"),0)</f>
        <v>0</v>
      </c>
      <c r="M285" s="899">
        <f ca="1">IFERROR(__xludf.DUMMYFUNCTION("IMPORTRANGE(""https://docs.google.com/spreadsheets/d/1MeEWN-I1oV_STSDYn1IFDPWt_1FKiwhDph83XaGc0o0/edit?usp=sharing"",""งบพรบ!DO48"")"),0)</f>
        <v>0</v>
      </c>
      <c r="N285" s="899">
        <f ca="1">IFERROR(__xludf.DUMMYFUNCTION("IMPORTRANGE(""https://docs.google.com/spreadsheets/d/1MeEWN-I1oV_STSDYn1IFDPWt_1FKiwhDph83XaGc0o0/edit?usp=sharing"",""งบพรบ!DQ48"")"),0)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IFERROR(__xludf.DUMMYFUNCTION("IMPORTRANGE(""https://docs.google.com/spreadsheets/d/1QqKyyYR6Q21VydFLVH3TRQUabQu_ym0Zz7PgGX0-kHA/edit?usp=sharing"",""แผน!EC48"")"),300)</f>
        <v>300</v>
      </c>
      <c r="J287" s="1024">
        <v>300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IFERROR(__xludf.DUMMYFUNCTION("IMPORTRANGE(""https://docs.google.com/spreadsheets/d/1QqKyyYR6Q21VydFLVH3TRQUabQu_ym0Zz7PgGX0-kHA/edit?usp=sharing"",""แผน!EB48"")"),30)</f>
        <v>30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IFERROR(__xludf.DUMMYFUNCTION("IMPORTRANGE(""https://docs.google.com/spreadsheets/d/1QqKyyYR6Q21VydFLVH3TRQUabQu_ym0Zz7PgGX0-kHA/edit?usp=sharing"",""แผน!EB48"")"),30)</f>
        <v>30</v>
      </c>
      <c r="J290" s="1024">
        <v>30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IFERROR(__xludf.DUMMYFUNCTION("IMPORTRANGE(""https://docs.google.com/spreadsheets/d/1QqKyyYR6Q21VydFLVH3TRQUabQu_ym0Zz7PgGX0-kHA/edit?usp=sharing"",""แผน!EB48"")"),30)</f>
        <v>30</v>
      </c>
      <c r="J291" s="1024">
        <v>30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IFERROR(__xludf.DUMMYFUNCTION("IMPORTRANGE(""https://docs.google.com/spreadsheets/d/1QqKyyYR6Q21VydFLVH3TRQUabQu_ym0Zz7PgGX0-kHA/edit?usp=sharing"",""แผน!EB48"")"),30)</f>
        <v>30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IFERROR(__xludf.DUMMYFUNCTION("IMPORTRANGE(""https://docs.google.com/spreadsheets/d/1QqKyyYR6Q21VydFLVH3TRQUabQu_ym0Zz7PgGX0-kHA/edit?usp=sharing"",""แผน!EB48"")"),30)</f>
        <v>30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IFERROR(__xludf.DUMMYFUNCTION("IMPORTRANGE(""https://docs.google.com/spreadsheets/d/1MeEWN-I1oV_STSDYn1IFDPWt_1FKiwhDph83XaGc0o0/edit?usp=sharing"",""งบพรบ!DS48"")"),0)</f>
        <v>0</v>
      </c>
      <c r="M303" s="899">
        <f ca="1">IFERROR(__xludf.DUMMYFUNCTION("IMPORTRANGE(""https://docs.google.com/spreadsheets/d/1MeEWN-I1oV_STSDYn1IFDPWt_1FKiwhDph83XaGc0o0/edit?usp=sharing"",""งบพรบ!DX48"")"),0)</f>
        <v>0</v>
      </c>
      <c r="N303" s="899">
        <f ca="1">IFERROR(__xludf.DUMMYFUNCTION("IMPORTRANGE(""https://docs.google.com/spreadsheets/d/1MeEWN-I1oV_STSDYn1IFDPWt_1FKiwhDph83XaGc0o0/edit?usp=sharing"",""งบพรบ!DZ48"")"),0)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IFERROR(__xludf.DUMMYFUNCTION("IMPORTRANGE(""https://docs.google.com/spreadsheets/d/1MeEWN-I1oV_STSDYn1IFDPWt_1FKiwhDph83XaGc0o0/edit?usp=sharing"",""งบพรบ!DV48"")"),0)</f>
        <v>0</v>
      </c>
      <c r="M306" s="899">
        <f ca="1">IFERROR(__xludf.DUMMYFUNCTION("IMPORTRANGE(""https://docs.google.com/spreadsheets/d/1MeEWN-I1oV_STSDYn1IFDPWt_1FKiwhDph83XaGc0o0/edit?usp=sharing"",""งบพรบ!DY48"")"),0)</f>
        <v>0</v>
      </c>
      <c r="N306" s="899">
        <f ca="1">IFERROR(__xludf.DUMMYFUNCTION("IMPORTRANGE(""https://docs.google.com/spreadsheets/d/1MeEWN-I1oV_STSDYn1IFDPWt_1FKiwhDph83XaGc0o0/edit?usp=sharing"",""งบพรบ!EA48"")"),0)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IFERROR(__xludf.DUMMYFUNCTION("IMPORTRANGE(""https://docs.google.com/spreadsheets/d/1QqKyyYR6Q21VydFLVH3TRQUabQu_ym0Zz7PgGX0-kHA/edit?usp=sharing"",""แผน!ED48"")"),0)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IFERROR(__xludf.DUMMYFUNCTION("IMPORTRANGE(""https://docs.google.com/spreadsheets/d/1QqKyyYR6Q21VydFLVH3TRQUabQu_ym0Zz7PgGX0-kHA/edit?usp=sharing"",""แผน!ED48"")"),0)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IFERROR(__xludf.DUMMYFUNCTION("IMPORTRANGE(""https://docs.google.com/spreadsheets/d/1QqKyyYR6Q21VydFLVH3TRQUabQu_ym0Zz7PgGX0-kHA/edit?usp=sharing"",""แผน!ED48"")"),0)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IFERROR(__xludf.DUMMYFUNCTION("IMPORTRANGE(""https://docs.google.com/spreadsheets/d/1QqKyyYR6Q21VydFLVH3TRQUabQu_ym0Zz7PgGX0-kHA/edit?usp=sharing"",""แผน!EE48"")"),0)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IFERROR(__xludf.DUMMYFUNCTION("IMPORTRANGE(""https://docs.google.com/spreadsheets/d/1MeEWN-I1oV_STSDYn1IFDPWt_1FKiwhDph83XaGc0o0/edit?usp=sharing"",""งบพรบ!EC48"")"),0)</f>
        <v>0</v>
      </c>
      <c r="M320" s="899">
        <f ca="1">IFERROR(__xludf.DUMMYFUNCTION("IMPORTRANGE(""https://docs.google.com/spreadsheets/d/1MeEWN-I1oV_STSDYn1IFDPWt_1FKiwhDph83XaGc0o0/edit?usp=sharing"",""งบพรบ!EH48"")"),0)</f>
        <v>0</v>
      </c>
      <c r="N320" s="899">
        <f ca="1">IFERROR(__xludf.DUMMYFUNCTION("IMPORTRANGE(""https://docs.google.com/spreadsheets/d/1MeEWN-I1oV_STSDYn1IFDPWt_1FKiwhDph83XaGc0o0/edit?usp=sharing"",""งบพรบ!EJ48"")"),0)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IFERROR(__xludf.DUMMYFUNCTION("IMPORTRANGE(""https://docs.google.com/spreadsheets/d/1MeEWN-I1oV_STSDYn1IFDPWt_1FKiwhDph83XaGc0o0/edit?usp=sharing"",""งบพรบ!EF48"")"),0)</f>
        <v>0</v>
      </c>
      <c r="M323" s="899">
        <f ca="1">IFERROR(__xludf.DUMMYFUNCTION("IMPORTRANGE(""https://docs.google.com/spreadsheets/d/1MeEWN-I1oV_STSDYn1IFDPWt_1FKiwhDph83XaGc0o0/edit?usp=sharing"",""งบพรบ!EI48"")"),0)</f>
        <v>0</v>
      </c>
      <c r="N323" s="899">
        <f ca="1">IFERROR(__xludf.DUMMYFUNCTION("IMPORTRANGE(""https://docs.google.com/spreadsheets/d/1MeEWN-I1oV_STSDYn1IFDPWt_1FKiwhDph83XaGc0o0/edit?usp=sharing"",""งบพรบ!EK48"")"),0)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IFERROR(__xludf.DUMMYFUNCTION("IMPORTRANGE(""https://docs.google.com/spreadsheets/d/1QqKyyYR6Q21VydFLVH3TRQUabQu_ym0Zz7PgGX0-kHA/edit?usp=sharing"",""แผน!EF48"")"),0)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IFERROR(__xludf.DUMMYFUNCTION("IMPORTRANGE(""https://docs.google.com/spreadsheets/d/1QqKyyYR6Q21VydFLVH3TRQUabQu_ym0Zz7PgGX0-kHA/edit?usp=sharing"",""แผน!EG48"")"),4600)</f>
        <v>4600</v>
      </c>
      <c r="J327" s="1202">
        <f ca="1">J338+J341+J342+J343</f>
        <v>4138</v>
      </c>
      <c r="K327" s="1203">
        <f ca="1">IF(I327&gt;0,J327*100/I327,0)</f>
        <v>89.956521739130437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175000</v>
      </c>
      <c r="M328" s="1004">
        <f t="shared" ca="1" si="149"/>
        <v>133750</v>
      </c>
      <c r="N328" s="1004">
        <f t="shared" ca="1" si="149"/>
        <v>58400</v>
      </c>
      <c r="O328" s="1004">
        <f t="shared" ref="O328:O336" ca="1" si="150">IF(L328&gt;0,N328*100/L328,0)</f>
        <v>33.371428571428574</v>
      </c>
      <c r="P328" s="1004">
        <f t="shared" ref="P328:P336" ca="1" si="151">IF(M328&gt;0,N328*100/M328,0)</f>
        <v>43.663551401869157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175000</v>
      </c>
      <c r="M330" s="899">
        <f t="shared" ca="1" si="152"/>
        <v>133750</v>
      </c>
      <c r="N330" s="899">
        <f t="shared" ca="1" si="152"/>
        <v>58400</v>
      </c>
      <c r="O330" s="899">
        <f t="shared" ca="1" si="150"/>
        <v>33.371428571428574</v>
      </c>
      <c r="P330" s="899">
        <f t="shared" ca="1" si="151"/>
        <v>43.663551401869157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175000</v>
      </c>
      <c r="M331" s="893">
        <f t="shared" ca="1" si="153"/>
        <v>133750</v>
      </c>
      <c r="N331" s="893">
        <f t="shared" ca="1" si="153"/>
        <v>58400</v>
      </c>
      <c r="O331" s="893">
        <f t="shared" ca="1" si="150"/>
        <v>33.371428571428574</v>
      </c>
      <c r="P331" s="893">
        <f t="shared" ca="1" si="151"/>
        <v>43.663551401869157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IFERROR(__xludf.DUMMYFUNCTION("IMPORTRANGE(""https://docs.google.com/spreadsheets/d/1MeEWN-I1oV_STSDYn1IFDPWt_1FKiwhDph83XaGc0o0/edit?usp=sharing"",""งบพรบ!EM48"")"),175000)</f>
        <v>175000</v>
      </c>
      <c r="M333" s="899">
        <f ca="1">IFERROR(__xludf.DUMMYFUNCTION("IMPORTRANGE(""https://docs.google.com/spreadsheets/d/1MeEWN-I1oV_STSDYn1IFDPWt_1FKiwhDph83XaGc0o0/edit?usp=sharing"",""งบพรบ!ER48"")"),133750)</f>
        <v>133750</v>
      </c>
      <c r="N333" s="899">
        <f ca="1">IFERROR(__xludf.DUMMYFUNCTION("IMPORTRANGE(""https://docs.google.com/spreadsheets/d/1MeEWN-I1oV_STSDYn1IFDPWt_1FKiwhDph83XaGc0o0/edit?usp=sharing"",""งบพรบ!ET48"")"),58400)</f>
        <v>58400</v>
      </c>
      <c r="O333" s="899">
        <f t="shared" ca="1" si="150"/>
        <v>33.371428571428574</v>
      </c>
      <c r="P333" s="899">
        <f t="shared" ca="1" si="151"/>
        <v>43.663551401869157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IFERROR(__xludf.DUMMYFUNCTION("IMPORTRANGE(""https://docs.google.com/spreadsheets/d/1MeEWN-I1oV_STSDYn1IFDPWt_1FKiwhDph83XaGc0o0/edit?usp=sharing"",""งบพรบ!EP48"")"),0)</f>
        <v>0</v>
      </c>
      <c r="M336" s="899">
        <f ca="1">IFERROR(__xludf.DUMMYFUNCTION("IMPORTRANGE(""https://docs.google.com/spreadsheets/d/1MeEWN-I1oV_STSDYn1IFDPWt_1FKiwhDph83XaGc0o0/edit?usp=sharing"",""งบพรบ!ES48"")"),0)</f>
        <v>0</v>
      </c>
      <c r="N336" s="899">
        <f ca="1">IFERROR(__xludf.DUMMYFUNCTION("IMPORTRANGE(""https://docs.google.com/spreadsheets/d/1MeEWN-I1oV_STSDYn1IFDPWt_1FKiwhDph83XaGc0o0/edit?usp=sharing"",""งบพรบ!EU48"")"),0)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IFERROR(__xludf.DUMMYFUNCTION("IMPORTRANGE(""https://docs.google.com/spreadsheets/d/1QqKyyYR6Q21VydFLVH3TRQUabQu_ym0Zz7PgGX0-kHA/edit?usp=sharing"",""แผน!EG48"")"),4600)</f>
        <v>4600</v>
      </c>
      <c r="J338" s="892">
        <f ca="1">IFERROR(__xludf.DUMMYFUNCTION("IMPORTRANGE(""https://docs.google.com/spreadsheets/d/1kVcqe37tkHyjCSG3S0O1AXqVkqjo8mSIZil3BcpIysc/edit?usp=sharing"",""ศูนย์!D48"")"),3740)</f>
        <v>3740</v>
      </c>
      <c r="K338" s="893">
        <f ca="1">IF(I338&gt;0,J338*100/I338,0)</f>
        <v>81.304347826086953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IFERROR(__xludf.DUMMYFUNCTION("IMPORTRANGE(""https://docs.google.com/spreadsheets/d/1QqKyyYR6Q21VydFLVH3TRQUabQu_ym0Zz7PgGX0-kHA/edit?usp=sharing"",""แผน!EH48"")"),6)</f>
        <v>6</v>
      </c>
      <c r="J340" s="892">
        <f ca="1">IFERROR(__xludf.DUMMYFUNCTION("IMPORTRANGE(""https://docs.google.com/spreadsheets/d/1kVcqe37tkHyjCSG3S0O1AXqVkqjo8mSIZil3BcpIysc/edit?usp=sharing"",""ศูนย์!E48"")"),5)</f>
        <v>5</v>
      </c>
      <c r="K340" s="893">
        <f ca="1">IF(I340&gt;0,J340*100/I340,0)</f>
        <v>83.333333333333329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IFERROR(__xludf.DUMMYFUNCTION("IMPORTRANGE(""https://docs.google.com/spreadsheets/d/1kVcqe37tkHyjCSG3S0O1AXqVkqjo8mSIZil3BcpIysc/edit?usp=sharing"",""ศูนย์!F48"")"),398)</f>
        <v>398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IFERROR(__xludf.DUMMYFUNCTION("IMPORTRANGE(""https://docs.google.com/spreadsheets/d/1kVcqe37tkHyjCSG3S0O1AXqVkqjo8mSIZil3BcpIysc/edit?usp=sharing"",""ศูนย์!G48"")"),0)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IFERROR(__xludf.DUMMYFUNCTION("IMPORTRANGE(""https://docs.google.com/spreadsheets/d/1kVcqe37tkHyjCSG3S0O1AXqVkqjo8mSIZil3BcpIysc/edit?usp=sharing"",""ศูนย์!H48"")"),0)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1121060</v>
      </c>
      <c r="M345" s="1004">
        <f t="shared" ca="1" si="155"/>
        <v>852200</v>
      </c>
      <c r="N345" s="1004">
        <f t="shared" ca="1" si="155"/>
        <v>603158.98</v>
      </c>
      <c r="O345" s="1004">
        <f t="shared" ref="O345:O353" ca="1" si="156">IF(L345&gt;0,N345*100/L345,0)</f>
        <v>53.802560077069913</v>
      </c>
      <c r="P345" s="1004">
        <f t="shared" ref="P345:P353" ca="1" si="157">IF(M345&gt;0,N345*100/M345,0)</f>
        <v>70.776693264491897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1121060</v>
      </c>
      <c r="M347" s="899">
        <f t="shared" ca="1" si="158"/>
        <v>852200</v>
      </c>
      <c r="N347" s="899">
        <f t="shared" ca="1" si="158"/>
        <v>603158.98</v>
      </c>
      <c r="O347" s="899">
        <f t="shared" ca="1" si="156"/>
        <v>53.802560077069913</v>
      </c>
      <c r="P347" s="899">
        <f t="shared" ca="1" si="157"/>
        <v>70.776693264491897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1061060</v>
      </c>
      <c r="M348" s="893">
        <f t="shared" ca="1" si="159"/>
        <v>792200</v>
      </c>
      <c r="N348" s="893">
        <f t="shared" ca="1" si="159"/>
        <v>543158.98</v>
      </c>
      <c r="O348" s="893">
        <f t="shared" ca="1" si="156"/>
        <v>51.19022298456261</v>
      </c>
      <c r="P348" s="893">
        <f t="shared" ca="1" si="157"/>
        <v>68.563365311789951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IFERROR(__xludf.DUMMYFUNCTION("IMPORTRANGE(""https://docs.google.com/spreadsheets/d/1MeEWN-I1oV_STSDYn1IFDPWt_1FKiwhDph83XaGc0o0/edit?usp=sharing"",""งบพรบ!EW48"")"),1061060)</f>
        <v>1061060</v>
      </c>
      <c r="M350" s="899">
        <f ca="1">IFERROR(__xludf.DUMMYFUNCTION("IMPORTRANGE(""https://docs.google.com/spreadsheets/d/1MeEWN-I1oV_STSDYn1IFDPWt_1FKiwhDph83XaGc0o0/edit?usp=sharing"",""งบพรบ!FB48"")"),792200)</f>
        <v>792200</v>
      </c>
      <c r="N350" s="899">
        <f ca="1">IFERROR(__xludf.DUMMYFUNCTION("IMPORTRANGE(""https://docs.google.com/spreadsheets/d/1MeEWN-I1oV_STSDYn1IFDPWt_1FKiwhDph83XaGc0o0/edit?usp=sharing"",""งบพรบ!FD48"")"),543158.98)</f>
        <v>543158.98</v>
      </c>
      <c r="O350" s="899">
        <f t="shared" ca="1" si="156"/>
        <v>51.19022298456261</v>
      </c>
      <c r="P350" s="899">
        <f t="shared" ca="1" si="157"/>
        <v>68.563365311789951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60000</v>
      </c>
      <c r="M351" s="893">
        <f t="shared" ca="1" si="160"/>
        <v>60000</v>
      </c>
      <c r="N351" s="893">
        <f t="shared" ca="1" si="160"/>
        <v>60000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IFERROR(__xludf.DUMMYFUNCTION("IMPORTRANGE(""https://docs.google.com/spreadsheets/d/1MeEWN-I1oV_STSDYn1IFDPWt_1FKiwhDph83XaGc0o0/edit?usp=sharing"",""งบพรบ!EZ48"")"),60000)</f>
        <v>60000</v>
      </c>
      <c r="M353" s="899">
        <f ca="1">IFERROR(__xludf.DUMMYFUNCTION("IMPORTRANGE(""https://docs.google.com/spreadsheets/d/1MeEWN-I1oV_STSDYn1IFDPWt_1FKiwhDph83XaGc0o0/edit?usp=sharing"",""งบพรบ!FC48"")"),60000)</f>
        <v>60000</v>
      </c>
      <c r="N353" s="899">
        <f ca="1">IFERROR(__xludf.DUMMYFUNCTION("IMPORTRANGE(""https://docs.google.com/spreadsheets/d/1MeEWN-I1oV_STSDYn1IFDPWt_1FKiwhDph83XaGc0o0/edit?usp=sharing"",""งบพรบ!FE48"")"),60000)</f>
        <v>60000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IFERROR(__xludf.DUMMYFUNCTION("IMPORTRANGE(""https://docs.google.com/spreadsheets/d/1QqKyyYR6Q21VydFLVH3TRQUabQu_ym0Zz7PgGX0-kHA/edit?usp=sharing"",""แผน!EP48"")"),440)</f>
        <v>440</v>
      </c>
      <c r="J355" s="1218">
        <f ca="1">J362</f>
        <v>158</v>
      </c>
      <c r="K355" s="1219">
        <f ca="1">IF(I355&gt;0,J355*100/I355,0)</f>
        <v>35.909090909090907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IFERROR(__xludf.DUMMYFUNCTION("IMPORTRANGE(""https://docs.google.com/spreadsheets/d/1XWAQStnk-4SwqDmLtmXYiTMKHgktTP8We1SCoS47DrQ/edit?usp=sharing"",""จัดที่ดิน!W48"")"),214)</f>
        <v>214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IFERROR(__xludf.DUMMYFUNCTION("IMPORTRANGE(""https://docs.google.com/spreadsheets/d/1QqKyyYR6Q21VydFLVH3TRQUabQu_ym0Zz7PgGX0-kHA/edit?usp=sharing"",""แผน!EO48"")"),4500)</f>
        <v>4500</v>
      </c>
      <c r="J359" s="892">
        <f ca="1">IFERROR(__xludf.DUMMYFUNCTION("IMPORTRANGE(""https://docs.google.com/spreadsheets/d/1XWAQStnk-4SwqDmLtmXYiTMKHgktTP8We1SCoS47DrQ/edit?usp=sharing"",""จัดที่ดิน!X48"")"),2028.17)</f>
        <v>2028.17</v>
      </c>
      <c r="K359" s="893">
        <f t="shared" ca="1" si="161"/>
        <v>45.070444444444448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IFERROR(__xludf.DUMMYFUNCTION("IMPORTRANGE(""https://docs.google.com/spreadsheets/d/1QqKyyYR6Q21VydFLVH3TRQUabQu_ym0Zz7PgGX0-kHA/edit?usp=sharing"",""แผน!EP48"")"),440)</f>
        <v>440</v>
      </c>
      <c r="J360" s="892">
        <f ca="1">IFERROR(__xludf.DUMMYFUNCTION("IMPORTRANGE(""https://docs.google.com/spreadsheets/d/1XWAQStnk-4SwqDmLtmXYiTMKHgktTP8We1SCoS47DrQ/edit?usp=sharing"",""จัดที่ดิน!Y48"")"),158)</f>
        <v>158</v>
      </c>
      <c r="K360" s="893">
        <f t="shared" ca="1" si="161"/>
        <v>35.909090909090907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IFERROR(__xludf.DUMMYFUNCTION("IMPORTRANGE(""https://docs.google.com/spreadsheets/d/1XWAQStnk-4SwqDmLtmXYiTMKHgktTP8We1SCoS47DrQ/edit?usp=sharing"",""จัดที่ดิน!Z48"")"),1684.1)</f>
        <v>1684.1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IFERROR(__xludf.DUMMYFUNCTION("IMPORTRANGE(""https://docs.google.com/spreadsheets/d/1QqKyyYR6Q21VydFLVH3TRQUabQu_ym0Zz7PgGX0-kHA/edit?usp=sharing"",""แผน!EP48"")"),440)</f>
        <v>440</v>
      </c>
      <c r="J362" s="892">
        <f ca="1">IFERROR(__xludf.DUMMYFUNCTION("IMPORTRANGE(""https://docs.google.com/spreadsheets/d/1XWAQStnk-4SwqDmLtmXYiTMKHgktTP8We1SCoS47DrQ/edit?usp=sharing"",""จัดที่ดิน!AA48"")"),158)</f>
        <v>158</v>
      </c>
      <c r="K362" s="893">
        <f t="shared" ca="1" si="161"/>
        <v>35.909090909090907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IFERROR(__xludf.DUMMYFUNCTION("IMPORTRANGE(""https://docs.google.com/spreadsheets/d/1XWAQStnk-4SwqDmLtmXYiTMKHgktTP8We1SCoS47DrQ/edit?usp=sharing"",""จัดที่ดิน!AB48"")"),1684.1)</f>
        <v>1684.1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560</v>
      </c>
      <c r="J364" s="1231">
        <f t="shared" ca="1" si="162"/>
        <v>244</v>
      </c>
      <c r="K364" s="1232">
        <f t="shared" ca="1" si="161"/>
        <v>43.571428571428569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IFERROR(__xludf.DUMMYFUNCTION("IMPORTRANGE(""https://docs.google.com/spreadsheets/d/1QqKyyYR6Q21VydFLVH3TRQUabQu_ym0Zz7PgGX0-kHA/edit?usp=sharing"",""แผน!EJ48"")"),40)</f>
        <v>40</v>
      </c>
      <c r="J365" s="1239">
        <f ca="1">J372</f>
        <v>16</v>
      </c>
      <c r="K365" s="1240">
        <f t="shared" ca="1" si="161"/>
        <v>40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IFERROR(__xludf.DUMMYFUNCTION("IMPORTRANGE(""https://docs.google.com/spreadsheets/d/1XWAQStnk-4SwqDmLtmXYiTMKHgktTP8We1SCoS47DrQ/edit?usp=sharing"",""จัดที่ดิน!E48"")"),72)</f>
        <v>72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IFERROR(__xludf.DUMMYFUNCTION("IMPORTRANGE(""https://docs.google.com/spreadsheets/d/1QqKyyYR6Q21VydFLVH3TRQUabQu_ym0Zz7PgGX0-kHA/edit?usp=sharing"",""แผน!EI48"")"),500)</f>
        <v>500</v>
      </c>
      <c r="J369" s="892">
        <f ca="1">IFERROR(__xludf.DUMMYFUNCTION("IMPORTRANGE(""https://docs.google.com/spreadsheets/d/1XWAQStnk-4SwqDmLtmXYiTMKHgktTP8We1SCoS47DrQ/edit?usp=sharing"",""จัดที่ดิน!F48"")"),544.64)</f>
        <v>544.64</v>
      </c>
      <c r="K369" s="893">
        <f t="shared" ca="1" si="163"/>
        <v>108.928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IFERROR(__xludf.DUMMYFUNCTION("IMPORTRANGE(""https://docs.google.com/spreadsheets/d/1QqKyyYR6Q21VydFLVH3TRQUabQu_ym0Zz7PgGX0-kHA/edit?usp=sharing"",""แผน!EJ48"")"),40)</f>
        <v>40</v>
      </c>
      <c r="J370" s="892">
        <f ca="1">IFERROR(__xludf.DUMMYFUNCTION("IMPORTRANGE(""https://docs.google.com/spreadsheets/d/1XWAQStnk-4SwqDmLtmXYiTMKHgktTP8We1SCoS47DrQ/edit?usp=sharing"",""จัดที่ดิน!G48"")"),16)</f>
        <v>16</v>
      </c>
      <c r="K370" s="893">
        <f t="shared" ca="1" si="163"/>
        <v>40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IFERROR(__xludf.DUMMYFUNCTION("IMPORTRANGE(""https://docs.google.com/spreadsheets/d/1XWAQStnk-4SwqDmLtmXYiTMKHgktTP8We1SCoS47DrQ/edit?usp=sharing"",""จัดที่ดิน!H48"")"),200.57)</f>
        <v>200.57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IFERROR(__xludf.DUMMYFUNCTION("IMPORTRANGE(""https://docs.google.com/spreadsheets/d/1QqKyyYR6Q21VydFLVH3TRQUabQu_ym0Zz7PgGX0-kHA/edit?usp=sharing"",""แผน!EJ48"")"),40)</f>
        <v>40</v>
      </c>
      <c r="J372" s="892">
        <f ca="1">IFERROR(__xludf.DUMMYFUNCTION("IMPORTRANGE(""https://docs.google.com/spreadsheets/d/1XWAQStnk-4SwqDmLtmXYiTMKHgktTP8We1SCoS47DrQ/edit?usp=sharing"",""จัดที่ดิน!I48"")"),16)</f>
        <v>16</v>
      </c>
      <c r="K372" s="893">
        <f t="shared" ca="1" si="163"/>
        <v>40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IFERROR(__xludf.DUMMYFUNCTION("IMPORTRANGE(""https://docs.google.com/spreadsheets/d/1XWAQStnk-4SwqDmLtmXYiTMKHgktTP8We1SCoS47DrQ/edit?usp=sharing"",""จัดที่ดิน!J48"")"),200.57)</f>
        <v>200.57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IFERROR(__xludf.DUMMYFUNCTION("IMPORTRANGE(""https://docs.google.com/spreadsheets/d/1QqKyyYR6Q21VydFLVH3TRQUabQu_ym0Zz7PgGX0-kHA/edit?usp=sharing"",""แผน!EU48"")"),520)</f>
        <v>520</v>
      </c>
      <c r="J374" s="1239">
        <f ca="1">J381</f>
        <v>228</v>
      </c>
      <c r="K374" s="1240">
        <f t="shared" ca="1" si="163"/>
        <v>43.846153846153847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IFERROR(__xludf.DUMMYFUNCTION("IMPORTRANGE(""https://docs.google.com/spreadsheets/d/1XWAQStnk-4SwqDmLtmXYiTMKHgktTP8We1SCoS47DrQ/edit?usp=sharing"",""จัดที่ดิน!AH48"")"),142)</f>
        <v>142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IFERROR(__xludf.DUMMYFUNCTION("IMPORTRANGE(""https://docs.google.com/spreadsheets/d/1QqKyyYR6Q21VydFLVH3TRQUabQu_ym0Zz7PgGX0-kHA/edit?usp=sharing"",""แผน!ET48"")"),4000)</f>
        <v>4000</v>
      </c>
      <c r="J378" s="892">
        <f ca="1">IFERROR(__xludf.DUMMYFUNCTION("IMPORTRANGE(""https://docs.google.com/spreadsheets/d/1XWAQStnk-4SwqDmLtmXYiTMKHgktTP8We1SCoS47DrQ/edit?usp=sharing"",""จัดที่ดิน!AI48"")"),1483.53)</f>
        <v>1483.53</v>
      </c>
      <c r="K378" s="893">
        <f t="shared" ca="1" si="164"/>
        <v>37.088250000000002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IFERROR(__xludf.DUMMYFUNCTION("IMPORTRANGE(""https://docs.google.com/spreadsheets/d/1QqKyyYR6Q21VydFLVH3TRQUabQu_ym0Zz7PgGX0-kHA/edit?usp=sharing"",""แผน!EU48"")"),520)</f>
        <v>520</v>
      </c>
      <c r="J379" s="892">
        <f ca="1">IFERROR(__xludf.DUMMYFUNCTION("IMPORTRANGE(""https://docs.google.com/spreadsheets/d/1XWAQStnk-4SwqDmLtmXYiTMKHgktTP8We1SCoS47DrQ/edit?usp=sharing"",""จัดที่ดิน!AJ48"")"),228)</f>
        <v>228</v>
      </c>
      <c r="K379" s="893">
        <f t="shared" ca="1" si="164"/>
        <v>43.846153846153847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IFERROR(__xludf.DUMMYFUNCTION("IMPORTRANGE(""https://docs.google.com/spreadsheets/d/1XWAQStnk-4SwqDmLtmXYiTMKHgktTP8We1SCoS47DrQ/edit?usp=sharing"",""จัดที่ดิน!AK48"")"),2702.44)</f>
        <v>2702.44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IFERROR(__xludf.DUMMYFUNCTION("IMPORTRANGE(""https://docs.google.com/spreadsheets/d/1QqKyyYR6Q21VydFLVH3TRQUabQu_ym0Zz7PgGX0-kHA/edit?usp=sharing"",""แผน!EU48"")"),520)</f>
        <v>520</v>
      </c>
      <c r="J381" s="892">
        <f ca="1">IFERROR(__xludf.DUMMYFUNCTION("IMPORTRANGE(""https://docs.google.com/spreadsheets/d/1XWAQStnk-4SwqDmLtmXYiTMKHgktTP8We1SCoS47DrQ/edit?usp=sharing"",""จัดที่ดิน!AL48"")"),228)</f>
        <v>228</v>
      </c>
      <c r="K381" s="893">
        <f t="shared" ca="1" si="164"/>
        <v>43.846153846153847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IFERROR(__xludf.DUMMYFUNCTION("IMPORTRANGE(""https://docs.google.com/spreadsheets/d/1XWAQStnk-4SwqDmLtmXYiTMKHgktTP8We1SCoS47DrQ/edit?usp=sharing"",""จัดที่ดิน!AM48"")"),2702.44)</f>
        <v>2702.44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IFERROR(__xludf.DUMMYFUNCTION("IMPORTRANGE(""https://docs.google.com/spreadsheets/d/1QqKyyYR6Q21VydFLVH3TRQUabQu_ym0Zz7PgGX0-kHA/edit?usp=sharing"",""แผน!EW48"")"),30)</f>
        <v>30</v>
      </c>
      <c r="J385" s="1149">
        <f ca="1">IFERROR(__xludf.DUMMYFUNCTION("IMPORTRANGE(""https://docs.google.com/spreadsheets/d/1XWAQStnk-4SwqDmLtmXYiTMKHgktTP8We1SCoS47DrQ/edit?usp=sharing"",""จัดที่ดิน!AP48"")"),18)</f>
        <v>18</v>
      </c>
      <c r="K385" s="1251">
        <f ca="1">IF(I385&gt;0,J385*100/I385,0)</f>
        <v>60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IFERROR(__xludf.DUMMYFUNCTION("IMPORTRANGE(""https://docs.google.com/spreadsheets/d/1MeEWN-I1oV_STSDYn1IFDPWt_1FKiwhDph83XaGc0o0/edit?usp=sharing"",""งบพรบ!FG48"")"),0)</f>
        <v>0</v>
      </c>
      <c r="M394" s="899">
        <f ca="1">IFERROR(__xludf.DUMMYFUNCTION("IMPORTRANGE(""https://docs.google.com/spreadsheets/d/1MeEWN-I1oV_STSDYn1IFDPWt_1FKiwhDph83XaGc0o0/edit?usp=sharing"",""งบพรบ!FL48"")"),0)</f>
        <v>0</v>
      </c>
      <c r="N394" s="899">
        <f ca="1">IFERROR(__xludf.DUMMYFUNCTION("IMPORTRANGE(""https://docs.google.com/spreadsheets/d/1MeEWN-I1oV_STSDYn1IFDPWt_1FKiwhDph83XaGc0o0/edit?usp=sharing"",""งบพรบ!FN48"")"),0)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IFERROR(__xludf.DUMMYFUNCTION("IMPORTRANGE(""https://docs.google.com/spreadsheets/d/1MeEWN-I1oV_STSDYn1IFDPWt_1FKiwhDph83XaGc0o0/edit?usp=sharing"",""งบพรบ!FJ48"")"),0)</f>
        <v>0</v>
      </c>
      <c r="M397" s="899">
        <f ca="1">IFERROR(__xludf.DUMMYFUNCTION("IMPORTRANGE(""https://docs.google.com/spreadsheets/d/1MeEWN-I1oV_STSDYn1IFDPWt_1FKiwhDph83XaGc0o0/edit?usp=sharing"",""งบพรบ!FM48"")"),0)</f>
        <v>0</v>
      </c>
      <c r="N397" s="899">
        <f ca="1">IFERROR(__xludf.DUMMYFUNCTION("IMPORTRANGE(""https://docs.google.com/spreadsheets/d/1MeEWN-I1oV_STSDYn1IFDPWt_1FKiwhDph83XaGc0o0/edit?usp=sharing"",""งบพรบ!FO48"")"),0)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IFERROR(__xludf.DUMMYFUNCTION("IMPORTRANGE(""https://docs.google.com/spreadsheets/d/1MeEWN-I1oV_STSDYn1IFDPWt_1FKiwhDph83XaGc0o0/edit?usp=sharing"",""งบพรบ!FQ48"")"),0)</f>
        <v>0</v>
      </c>
      <c r="M407" s="899">
        <f ca="1">IFERROR(__xludf.DUMMYFUNCTION("IMPORTRANGE(""https://docs.google.com/spreadsheets/d/1MeEWN-I1oV_STSDYn1IFDPWt_1FKiwhDph83XaGc0o0/edit?usp=sharing"",""งบพรบ!FV48"")"),0)</f>
        <v>0</v>
      </c>
      <c r="N407" s="899">
        <f ca="1">IFERROR(__xludf.DUMMYFUNCTION("IMPORTRANGE(""https://docs.google.com/spreadsheets/d/1MeEWN-I1oV_STSDYn1IFDPWt_1FKiwhDph83XaGc0o0/edit?usp=sharing"",""งบพรบ!FX48"")"),0)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IFERROR(__xludf.DUMMYFUNCTION("IMPORTRANGE(""https://docs.google.com/spreadsheets/d/1MeEWN-I1oV_STSDYn1IFDPWt_1FKiwhDph83XaGc0o0/edit?usp=sharing"",""งบพรบ!FT48"")"),0)</f>
        <v>0</v>
      </c>
      <c r="M410" s="899">
        <f ca="1">IFERROR(__xludf.DUMMYFUNCTION("IMPORTRANGE(""https://docs.google.com/spreadsheets/d/1MeEWN-I1oV_STSDYn1IFDPWt_1FKiwhDph83XaGc0o0/edit?usp=sharing"",""งบพรบ!FW48"")"),0)</f>
        <v>0</v>
      </c>
      <c r="N410" s="899">
        <f ca="1">IFERROR(__xludf.DUMMYFUNCTION("IMPORTRANGE(""https://docs.google.com/spreadsheets/d/1MeEWN-I1oV_STSDYn1IFDPWt_1FKiwhDph83XaGc0o0/edit?usp=sharing"",""งบพรบ!FY48"")"),0)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2876576</v>
      </c>
      <c r="M414" s="1293">
        <f t="shared" ca="1" si="181"/>
        <v>2876576</v>
      </c>
      <c r="N414" s="1293">
        <f t="shared" si="181"/>
        <v>981952.72</v>
      </c>
      <c r="O414" s="1293">
        <f ca="1">IF(L414&gt;0,N414*100/L414,0)</f>
        <v>34.136164662432002</v>
      </c>
      <c r="P414" s="1293">
        <f ca="1">IF(M414&gt;0,N414*100/M414,0)</f>
        <v>34.136164662432002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78660</v>
      </c>
      <c r="M419" s="1004">
        <f t="shared" ca="1" si="184"/>
        <v>78660</v>
      </c>
      <c r="N419" s="1004">
        <f t="shared" si="184"/>
        <v>55183</v>
      </c>
      <c r="O419" s="1004">
        <f t="shared" ref="O419:O424" ca="1" si="185">IF(L419&gt;0,N419*100/L419,0)</f>
        <v>70.153826595474186</v>
      </c>
      <c r="P419" s="1004">
        <f t="shared" ref="P419:P424" ca="1" si="186">IF(M419&gt;0,N419*100/M419,0)</f>
        <v>70.153826595474186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78660</v>
      </c>
      <c r="M421" s="899">
        <f t="shared" ca="1" si="187"/>
        <v>78660</v>
      </c>
      <c r="N421" s="899">
        <f t="shared" si="187"/>
        <v>55183</v>
      </c>
      <c r="O421" s="899">
        <f t="shared" ca="1" si="185"/>
        <v>70.153826595474186</v>
      </c>
      <c r="P421" s="899">
        <f t="shared" ca="1" si="186"/>
        <v>70.153826595474186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78660</v>
      </c>
      <c r="M422" s="893">
        <f t="shared" ca="1" si="188"/>
        <v>78660</v>
      </c>
      <c r="N422" s="893">
        <f t="shared" si="188"/>
        <v>55183</v>
      </c>
      <c r="O422" s="893">
        <f t="shared" ca="1" si="185"/>
        <v>70.153826595474186</v>
      </c>
      <c r="P422" s="893">
        <f t="shared" ca="1" si="186"/>
        <v>70.153826595474186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IFERROR(__xludf.DUMMYFUNCTION("IMPORTRANGE(""https://docs.google.com/spreadsheets/d/1QqKyyYR6Q21VydFLVH3TRQUabQu_ym0Zz7PgGX0-kHA/edit?usp=sharing"",""แผน!EY48"")"),78660)</f>
        <v>78660</v>
      </c>
      <c r="M424" s="899">
        <f ca="1">L424</f>
        <v>78660</v>
      </c>
      <c r="N424" s="899">
        <f>N425+N426+N427+N428</f>
        <v>55183</v>
      </c>
      <c r="O424" s="899">
        <f t="shared" ca="1" si="185"/>
        <v>70.153826595474186</v>
      </c>
      <c r="P424" s="899">
        <f t="shared" ca="1" si="186"/>
        <v>70.153826595474186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55183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IFERROR(__xludf.DUMMYFUNCTION("IMPORTRANGE(""https://docs.google.com/spreadsheets/d/1QqKyyYR6Q21VydFLVH3TRQUabQu_ym0Zz7PgGX0-kHA/edit?usp=sharing"",""แผน!FB48"")"),0)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IFERROR(__xludf.DUMMYFUNCTION("IMPORTRANGE(""https://docs.google.com/spreadsheets/d/1QqKyyYR6Q21VydFLVH3TRQUabQu_ym0Zz7PgGX0-kHA/edit?usp=sharing"",""แผน!FE48"")"),0)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IFERROR(__xludf.DUMMYFUNCTION("IMPORTRANGE(""https://docs.google.com/spreadsheets/d/1QqKyyYR6Q21VydFLVH3TRQUabQu_ym0Zz7PgGX0-kHA/edit?usp=sharing"",""แผน!FG48"")"),1)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IFERROR(__xludf.DUMMYFUNCTION("IMPORTRANGE(""https://docs.google.com/spreadsheets/d/1QqKyyYR6Q21VydFLVH3TRQUabQu_ym0Zz7PgGX0-kHA/edit?usp=sharing"",""แผน!FH48"")"),0)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50</v>
      </c>
      <c r="J442" s="1322">
        <f t="shared" si="195"/>
        <v>50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150</v>
      </c>
      <c r="J443" s="1306">
        <f t="shared" si="196"/>
        <v>150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460706</v>
      </c>
      <c r="M444" s="1032">
        <f t="shared" ca="1" si="197"/>
        <v>460706</v>
      </c>
      <c r="N444" s="1032">
        <f t="shared" si="197"/>
        <v>211330</v>
      </c>
      <c r="O444" s="1032">
        <f t="shared" ref="O444:O449" ca="1" si="198">IF(L444&gt;0,N444*100/L444,0)</f>
        <v>45.870902484447782</v>
      </c>
      <c r="P444" s="1032">
        <f t="shared" ref="P444:P449" ca="1" si="199">IF(M444&gt;0,N444*100/M444,0)</f>
        <v>45.870902484447782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460706</v>
      </c>
      <c r="M446" s="899">
        <f t="shared" ca="1" si="200"/>
        <v>460706</v>
      </c>
      <c r="N446" s="899">
        <f t="shared" si="200"/>
        <v>211330</v>
      </c>
      <c r="O446" s="899">
        <f t="shared" ca="1" si="198"/>
        <v>45.870902484447782</v>
      </c>
      <c r="P446" s="899">
        <f t="shared" ca="1" si="199"/>
        <v>45.870902484447782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460706</v>
      </c>
      <c r="M447" s="893">
        <f t="shared" ca="1" si="201"/>
        <v>460706</v>
      </c>
      <c r="N447" s="893">
        <f t="shared" si="201"/>
        <v>211330</v>
      </c>
      <c r="O447" s="893">
        <f t="shared" ca="1" si="198"/>
        <v>45.870902484447782</v>
      </c>
      <c r="P447" s="893">
        <f t="shared" ca="1" si="199"/>
        <v>45.870902484447782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IFERROR(__xludf.DUMMYFUNCTION("IMPORTRANGE(""https://docs.google.com/spreadsheets/d/1QqKyyYR6Q21VydFLVH3TRQUabQu_ym0Zz7PgGX0-kHA/edit?usp=sharing"",""แผน!FJ48"")"),460706)</f>
        <v>460706</v>
      </c>
      <c r="M449" s="899">
        <f ca="1">L449</f>
        <v>460706</v>
      </c>
      <c r="N449" s="899">
        <f>N450+N451+N452+N453</f>
        <v>211330</v>
      </c>
      <c r="O449" s="899">
        <f t="shared" ca="1" si="198"/>
        <v>45.870902484447782</v>
      </c>
      <c r="P449" s="899">
        <f t="shared" ca="1" si="199"/>
        <v>45.870902484447782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68150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72160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6020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IFERROR(__xludf.DUMMYFUNCTION("IMPORTRANGE(""https://docs.google.com/spreadsheets/d/1QqKyyYR6Q21VydFLVH3TRQUabQu_ym0Zz7PgGX0-kHA/edit?usp=sharing"",""แผน!FM48"")"),0)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IFERROR(__xludf.DUMMYFUNCTION("IMPORTRANGE(""https://docs.google.com/spreadsheets/d/1QqKyyYR6Q21VydFLVH3TRQUabQu_ym0Zz7PgGX0-kHA/edit?usp=sharing"",""แผน!FN48"")"),50)</f>
        <v>50</v>
      </c>
      <c r="J460" s="1024">
        <v>50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IFERROR(__xludf.DUMMYFUNCTION("IMPORTRANGE(""https://docs.google.com/spreadsheets/d/1QqKyyYR6Q21VydFLVH3TRQUabQu_ym0Zz7PgGX0-kHA/edit?usp=sharing"",""แผน!FO48"")"),150)</f>
        <v>150</v>
      </c>
      <c r="J462" s="1024">
        <v>150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IFERROR(__xludf.DUMMYFUNCTION("IMPORTRANGE(""https://docs.google.com/spreadsheets/d/1QqKyyYR6Q21VydFLVH3TRQUabQu_ym0Zz7PgGX0-kHA/edit?usp=sharing"",""แผน!FO48"")"),150)</f>
        <v>150</v>
      </c>
      <c r="J463" s="1024">
        <v>150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IFERROR(__xludf.DUMMYFUNCTION("IMPORTRANGE(""https://docs.google.com/spreadsheets/d/1QqKyyYR6Q21VydFLVH3TRQUabQu_ym0Zz7PgGX0-kHA/edit?usp=sharing"",""แผน!FN48"")"),50)</f>
        <v>50</v>
      </c>
      <c r="J464" s="1024">
        <v>50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IFERROR(__xludf.DUMMYFUNCTION("IMPORTRANGE(""https://docs.google.com/spreadsheets/d/1QqKyyYR6Q21VydFLVH3TRQUabQu_ym0Zz7PgGX0-kHA/edit?usp=sharing"",""แผน!FX48"")"),131)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IFERROR(__xludf.DUMMYFUNCTION("IMPORTRANGE(""https://docs.google.com/spreadsheets/d/1QqKyyYR6Q21VydFLVH3TRQUabQu_ym0Zz7PgGX0-kHA/edit?usp=sharing"",""แผน!FW48"")"),1300)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1172208</v>
      </c>
      <c r="M467" s="1032">
        <f t="shared" ca="1" si="206"/>
        <v>1172208</v>
      </c>
      <c r="N467" s="1032">
        <f t="shared" si="206"/>
        <v>225821</v>
      </c>
      <c r="O467" s="1032">
        <f t="shared" ref="O467:O472" ca="1" si="207">IF(L467&gt;0,N467*100/L467,0)</f>
        <v>19.264584442351527</v>
      </c>
      <c r="P467" s="1032">
        <f t="shared" ref="P467:P472" ca="1" si="208">IF(M467&gt;0,N467*100/M467,0)</f>
        <v>19.264584442351527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1172208</v>
      </c>
      <c r="M469" s="899">
        <f t="shared" ca="1" si="209"/>
        <v>1172208</v>
      </c>
      <c r="N469" s="899">
        <f t="shared" si="209"/>
        <v>225821</v>
      </c>
      <c r="O469" s="899">
        <f t="shared" ca="1" si="207"/>
        <v>19.264584442351527</v>
      </c>
      <c r="P469" s="899">
        <f t="shared" ca="1" si="208"/>
        <v>19.264584442351527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1172208</v>
      </c>
      <c r="M470" s="893">
        <f t="shared" ca="1" si="210"/>
        <v>1172208</v>
      </c>
      <c r="N470" s="893">
        <f t="shared" si="210"/>
        <v>225821</v>
      </c>
      <c r="O470" s="893">
        <f t="shared" ca="1" si="207"/>
        <v>19.264584442351527</v>
      </c>
      <c r="P470" s="893">
        <f t="shared" ca="1" si="208"/>
        <v>19.264584442351527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IFERROR(__xludf.DUMMYFUNCTION("IMPORTRANGE(""https://docs.google.com/spreadsheets/d/1QqKyyYR6Q21VydFLVH3TRQUabQu_ym0Zz7PgGX0-kHA/edit?usp=sharing"",""แผน!FS48"")"),1172208)</f>
        <v>1172208</v>
      </c>
      <c r="M472" s="899">
        <f ca="1">L472</f>
        <v>1172208</v>
      </c>
      <c r="N472" s="899">
        <f>N473+N474+N475+N476</f>
        <v>225821</v>
      </c>
      <c r="O472" s="899">
        <f t="shared" ca="1" si="207"/>
        <v>19.264584442351527</v>
      </c>
      <c r="P472" s="899">
        <f t="shared" ca="1" si="208"/>
        <v>19.264584442351527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149161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11660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IFERROR(__xludf.DUMMYFUNCTION("IMPORTRANGE(""https://docs.google.com/spreadsheets/d/1QqKyyYR6Q21VydFLVH3TRQUabQu_ym0Zz7PgGX0-kHA/edit?usp=sharing"",""แผน!FV48"")"),0)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IFERROR(__xludf.DUMMYFUNCTION("IMPORTRANGE(""https://docs.google.com/spreadsheets/d/1QqKyyYR6Q21VydFLVH3TRQUabQu_ym0Zz7PgGX0-kHA/edit?usp=sharing"",""แผน!FY48"")"),1170)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117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IFERROR(__xludf.DUMMYFUNCTION("IMPORTRANGE(""https://docs.google.com/spreadsheets/d/1QqKyyYR6Q21VydFLVH3TRQUabQu_ym0Zz7PgGX0-kHA/edit?usp=sharing"",""แผน!FZ48"")"),117)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IFERROR(__xludf.DUMMYFUNCTION("IMPORTRANGE(""https://docs.google.com/spreadsheets/d/1QqKyyYR6Q21VydFLVH3TRQUabQu_ym0Zz7PgGX0-kHA/edit?usp=sharing"",""แผน!GA48"")"),130)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13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IFERROR(__xludf.DUMMYFUNCTION("IMPORTRANGE(""https://docs.google.com/spreadsheets/d/1QqKyyYR6Q21VydFLVH3TRQUabQu_ym0Zz7PgGX0-kHA/edit?usp=sharing"",""แผน!GB48"")"),13)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IFERROR(__xludf.DUMMYFUNCTION("IMPORTRANGE(""https://docs.google.com/spreadsheets/d/1QqKyyYR6Q21VydFLVH3TRQUabQu_ym0Zz7PgGX0-kHA/edit?usp=sharing"",""แผน!GC48"")"),1)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IFERROR(__xludf.DUMMYFUNCTION("IMPORTRANGE(""https://docs.google.com/spreadsheets/d/1QqKyyYR6Q21VydFLVH3TRQUabQu_ym0Zz7PgGX0-kHA/edit?usp=sharing"",""แผน!FY48"")"),1170)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IFERROR(__xludf.DUMMYFUNCTION("IMPORTRANGE(""https://docs.google.com/spreadsheets/d/1QqKyyYR6Q21VydFLVH3TRQUabQu_ym0Zz7PgGX0-kHA/edit?usp=sharing"",""แผน!GA48"")"),130)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IFERROR(__xludf.DUMMYFUNCTION("IMPORTRANGE(""https://docs.google.com/spreadsheets/d/1QqKyyYR6Q21VydFLVH3TRQUabQu_ym0Zz7PgGX0-kHA/edit?usp=sharing"",""แผน!GQ48"")"),0)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IFERROR(__xludf.DUMMYFUNCTION("IMPORTRANGE(""https://docs.google.com/spreadsheets/d/1QqKyyYR6Q21VydFLVH3TRQUabQu_ym0Zz7PgGX0-kHA/edit?usp=sharing"",""แผน!GT48"")"),0)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IFERROR(__xludf.DUMMYFUNCTION("IMPORTRANGE(""https://docs.google.com/spreadsheets/d/1QqKyyYR6Q21VydFLVH3TRQUabQu_ym0Zz7PgGX0-kHA/edit?usp=sharing"",""แผน!GU48"")"),0)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IFERROR(__xludf.DUMMYFUNCTION("IMPORTRANGE(""https://docs.google.com/spreadsheets/d/1QqKyyYR6Q21VydFLVH3TRQUabQu_ym0Zz7PgGX0-kHA/edit?usp=sharing"",""แผน!GV48"")"),0)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IFERROR(__xludf.DUMMYFUNCTION("IMPORTRANGE(""https://docs.google.com/spreadsheets/d/1QqKyyYR6Q21VydFLVH3TRQUabQu_ym0Zz7PgGX0-kHA/edit?usp=sharing"",""แผน!GW48"")"),0)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IFERROR(__xludf.DUMMYFUNCTION("IMPORTRANGE(""https://docs.google.com/spreadsheets/d/1QqKyyYR6Q21VydFLVH3TRQUabQu_ym0Zz7PgGX0-kHA/edit?usp=sharing"",""แผน!GX48"")"),0)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IFERROR(__xludf.DUMMYFUNCTION("IMPORTRANGE(""https://docs.google.com/spreadsheets/d/1QqKyyYR6Q21VydFLVH3TRQUabQu_ym0Zz7PgGX0-kHA/edit?usp=sharing"",""แผน!GY48"")"),0)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IFERROR(__xludf.DUMMYFUNCTION("IMPORTRANGE(""https://docs.google.com/spreadsheets/d/1QqKyyYR6Q21VydFLVH3TRQUabQu_ym0Zz7PgGX0-kHA/edit?usp=sharing"",""แผน!GZ48"")"),0)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41140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514752</v>
      </c>
      <c r="M544" s="1004">
        <f t="shared" ca="1" si="236"/>
        <v>514752</v>
      </c>
      <c r="N544" s="1004">
        <f t="shared" si="236"/>
        <v>127839</v>
      </c>
      <c r="O544" s="1004">
        <f t="shared" ref="O544:O549" ca="1" si="237">IF(L544&gt;0,N544*100/L544,0)</f>
        <v>24.835066206639315</v>
      </c>
      <c r="P544" s="1004">
        <f t="shared" ref="P544:P549" ca="1" si="238">IF(M544&gt;0,N544*100/M544,0)</f>
        <v>24.835066206639315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514752</v>
      </c>
      <c r="M546" s="899">
        <f t="shared" ca="1" si="240"/>
        <v>514752</v>
      </c>
      <c r="N546" s="899">
        <f t="shared" si="240"/>
        <v>127839</v>
      </c>
      <c r="O546" s="899">
        <f t="shared" ca="1" si="237"/>
        <v>24.835066206639315</v>
      </c>
      <c r="P546" s="899">
        <f t="shared" ca="1" si="238"/>
        <v>24.835066206639315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514752</v>
      </c>
      <c r="M547" s="893">
        <f t="shared" ca="1" si="241"/>
        <v>514752</v>
      </c>
      <c r="N547" s="893">
        <f t="shared" si="241"/>
        <v>127839</v>
      </c>
      <c r="O547" s="893">
        <f t="shared" ca="1" si="237"/>
        <v>24.835066206639315</v>
      </c>
      <c r="P547" s="893">
        <f t="shared" ca="1" si="238"/>
        <v>24.835066206639315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IFERROR(__xludf.DUMMYFUNCTION("IMPORTRANGE(""https://docs.google.com/spreadsheets/d/1QqKyyYR6Q21VydFLVH3TRQUabQu_ym0Zz7PgGX0-kHA/edit?usp=sharing"",""แผน!HB48"")"),514752)</f>
        <v>514752</v>
      </c>
      <c r="M549" s="899">
        <f ca="1">L549</f>
        <v>514752</v>
      </c>
      <c r="N549" s="899">
        <f>N550+N551+N552+N553+N554</f>
        <v>127839</v>
      </c>
      <c r="O549" s="899">
        <f t="shared" ca="1" si="237"/>
        <v>24.835066206639315</v>
      </c>
      <c r="P549" s="899">
        <f t="shared" ca="1" si="238"/>
        <v>24.835066206639315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62839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IFERROR(__xludf.DUMMYFUNCTION("IMPORTRANGE(""https://docs.google.com/spreadsheets/d/1QqKyyYR6Q21VydFLVH3TRQUabQu_ym0Zz7PgGX0-kHA/edit?usp=sharing"",""แผน!HF48"")"),0)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41140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IFERROR(__xludf.DUMMYFUNCTION("IMPORTRANGE(""https://docs.google.com/spreadsheets/d/1QqKyyYR6Q21VydFLVH3TRQUabQu_ym0Zz7PgGX0-kHA/edit?usp=sharing"",""แผน!HH48"")"),41140)</f>
        <v>41140</v>
      </c>
      <c r="J560" s="1030">
        <f t="shared" ref="J560:J561" si="247">J562+J564+J566</f>
        <v>41143</v>
      </c>
      <c r="K560" s="1174">
        <f t="shared" ca="1" si="246"/>
        <v>100.00729217306757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IFERROR(__xludf.DUMMYFUNCTION("IMPORTRANGE(""https://docs.google.com/spreadsheets/d/1QqKyyYR6Q21VydFLVH3TRQUabQu_ym0Zz7PgGX0-kHA/edit?usp=sharing"",""แผน!HG48"")"),4331)</f>
        <v>4331</v>
      </c>
      <c r="J561" s="1030">
        <f t="shared" si="247"/>
        <v>4331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37156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4016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3123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234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864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81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IFERROR(__xludf.DUMMYFUNCTION("IMPORTRANGE(""https://docs.google.com/spreadsheets/d/1QqKyyYR6Q21VydFLVH3TRQUabQu_ym0Zz7PgGX0-kHA/edit?usp=sharing"",""แผน!HH48"")"),41140)</f>
        <v>41140</v>
      </c>
      <c r="J568" s="1031">
        <f t="shared" ref="J568:J569" si="248">J570+J572+J574</f>
        <v>41143</v>
      </c>
      <c r="K568" s="1174">
        <f t="shared" ref="K568:K569" ca="1" si="249">IF(I568&gt;0,J568*100/I568,0)</f>
        <v>100.00729217306757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IFERROR(__xludf.DUMMYFUNCTION("IMPORTRANGE(""https://docs.google.com/spreadsheets/d/1QqKyyYR6Q21VydFLVH3TRQUabQu_ym0Zz7PgGX0-kHA/edit?usp=sharing"",""แผน!HG48"")"),4331)</f>
        <v>4331</v>
      </c>
      <c r="J569" s="1031">
        <f t="shared" si="248"/>
        <v>4331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38129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4080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2117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159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897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92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IFERROR(__xludf.DUMMYFUNCTION("IMPORTRANGE(""https://docs.google.com/spreadsheets/d/1QqKyyYR6Q21VydFLVH3TRQUabQu_ym0Zz7PgGX0-kHA/edit?usp=sharing"",""แผน!HH48"")"),41140)</f>
        <v>41140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IFERROR(__xludf.DUMMYFUNCTION("IMPORTRANGE(""https://docs.google.com/spreadsheets/d/1QqKyyYR6Q21VydFLVH3TRQUabQu_ym0Zz7PgGX0-kHA/edit?usp=sharing"",""แผน!HG48"")"),4331)</f>
        <v>4331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11282.62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IFERROR(__xludf.DUMMYFUNCTION("IMPORTRANGE(""https://docs.google.com/spreadsheets/d/1QqKyyYR6Q21VydFLVH3TRQUabQu_ym0Zz7PgGX0-kHA/edit?usp=sharing"",""แผน!HJ48"")"),11282.62)</f>
        <v>11282.62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IFERROR(__xludf.DUMMYFUNCTION("IMPORTRANGE(""https://docs.google.com/spreadsheets/d/1QqKyyYR6Q21VydFLVH3TRQUabQu_ym0Zz7PgGX0-kHA/edit?usp=sharing"",""แผน!HI48"")"),633)</f>
        <v>633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IFERROR(__xludf.DUMMYFUNCTION("IMPORTRANGE(""https://docs.google.com/spreadsheets/d/1QqKyyYR6Q21VydFLVH3TRQUabQu_ym0Zz7PgGX0-kHA/edit?usp=sharing"",""แผน!HL48"")"),44)</f>
        <v>44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IFERROR(__xludf.DUMMYFUNCTION("IMPORTRANGE(""https://docs.google.com/spreadsheets/d/1QqKyyYR6Q21VydFLVH3TRQUabQu_ym0Zz7PgGX0-kHA/edit?usp=sharing"",""แผน!HK48"")"),3)</f>
        <v>3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130</v>
      </c>
      <c r="J628" s="1438">
        <f t="shared" ca="1" si="262"/>
        <v>52</v>
      </c>
      <c r="K628" s="1439">
        <f ca="1">IF(I628&gt;0,J628*100/I628,0)</f>
        <v>40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368210</v>
      </c>
      <c r="M629" s="1032">
        <f t="shared" ca="1" si="263"/>
        <v>368210</v>
      </c>
      <c r="N629" s="1032">
        <f t="shared" si="263"/>
        <v>185954.84</v>
      </c>
      <c r="O629" s="1032">
        <f t="shared" ref="O629:O634" ca="1" si="264">IF(L629&gt;0,N629*100/L629,0)</f>
        <v>50.50238722468157</v>
      </c>
      <c r="P629" s="1032">
        <f t="shared" ref="P629:P634" ca="1" si="265">IF(M629&gt;0,N629*100/M629,0)</f>
        <v>50.50238722468157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368210</v>
      </c>
      <c r="M631" s="899">
        <f t="shared" ca="1" si="266"/>
        <v>368210</v>
      </c>
      <c r="N631" s="899">
        <f t="shared" si="266"/>
        <v>185954.84</v>
      </c>
      <c r="O631" s="899">
        <f t="shared" ca="1" si="264"/>
        <v>50.50238722468157</v>
      </c>
      <c r="P631" s="899">
        <f t="shared" ca="1" si="265"/>
        <v>50.50238722468157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368210</v>
      </c>
      <c r="M632" s="893">
        <f t="shared" ca="1" si="267"/>
        <v>368210</v>
      </c>
      <c r="N632" s="893">
        <f t="shared" si="267"/>
        <v>185954.84</v>
      </c>
      <c r="O632" s="893">
        <f t="shared" ca="1" si="264"/>
        <v>50.50238722468157</v>
      </c>
      <c r="P632" s="893">
        <f t="shared" ca="1" si="265"/>
        <v>50.50238722468157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IFERROR(__xludf.DUMMYFUNCTION("IMPORTRANGE(""https://docs.google.com/spreadsheets/d/1QqKyyYR6Q21VydFLVH3TRQUabQu_ym0Zz7PgGX0-kHA/edit?usp=sharing"",""แผน!HN48"")"),368210)</f>
        <v>368210</v>
      </c>
      <c r="M634" s="899">
        <f ca="1">L634</f>
        <v>368210</v>
      </c>
      <c r="N634" s="899">
        <f>N635+N636+N637+N638</f>
        <v>185954.84</v>
      </c>
      <c r="O634" s="899">
        <f t="shared" ca="1" si="264"/>
        <v>50.50238722468157</v>
      </c>
      <c r="P634" s="899">
        <f t="shared" ca="1" si="265"/>
        <v>50.50238722468157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65000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120954.84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IFERROR(__xludf.DUMMYFUNCTION("IMPORTRANGE(""https://docs.google.com/spreadsheets/d/1QqKyyYR6Q21VydFLVH3TRQUabQu_ym0Zz7PgGX0-kHA/edit?usp=sharing"",""แผน!HQ48"")"),0)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IFERROR(__xludf.DUMMYFUNCTION("IMPORTRANGE(""https://docs.google.com/spreadsheets/d/1QqKyyYR6Q21VydFLVH3TRQUabQu_ym0Zz7PgGX0-kHA/edit?usp=sharing"",""แผน!HR48"")"),0)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IFERROR(__xludf.DUMMYFUNCTION("IMPORTRANGE(""https://docs.google.com/spreadsheets/d/1QqKyyYR6Q21VydFLVH3TRQUabQu_ym0Zz7PgGX0-kHA/edit?usp=sharing"",""แผน!HR48"")"),0)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IFERROR(__xludf.DUMMYFUNCTION("IMPORTRANGE(""https://docs.google.com/spreadsheets/d/1XWAQStnk-4SwqDmLtmXYiTMKHgktTP8We1SCoS47DrQ/edit?usp=sharing"",""จัดที่ดิน!AS48"")"),134)</f>
        <v>134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IFERROR(__xludf.DUMMYFUNCTION("IMPORTRANGE(""https://docs.google.com/spreadsheets/d/1XWAQStnk-4SwqDmLtmXYiTMKHgktTP8We1SCoS47DrQ/edit?usp=sharing"",""จัดที่ดิน!AT48"")"),103.79)</f>
        <v>103.79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IFERROR(__xludf.DUMMYFUNCTION("IMPORTRANGE(""https://docs.google.com/spreadsheets/d/1QqKyyYR6Q21VydFLVH3TRQUabQu_ym0Zz7PgGX0-kHA/edit?usp=sharing"",""แผน!HS48"")"),130)</f>
        <v>130</v>
      </c>
      <c r="J647" s="892">
        <f ca="1">IFERROR(__xludf.DUMMYFUNCTION("IMPORTRANGE(""https://docs.google.com/spreadsheets/d/1XWAQStnk-4SwqDmLtmXYiTMKHgktTP8We1SCoS47DrQ/edit?usp=sharing"",""จัดที่ดิน!AU48"")"),102)</f>
        <v>102</v>
      </c>
      <c r="K647" s="1010">
        <f t="shared" ca="1" si="271"/>
        <v>78.461538461538467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IFERROR(__xludf.DUMMYFUNCTION("IMPORTRANGE(""https://docs.google.com/spreadsheets/d/1XWAQStnk-4SwqDmLtmXYiTMKHgktTP8We1SCoS47DrQ/edit?usp=sharing"",""จัดที่ดิน!AV48"")"),74.67)</f>
        <v>74.67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IFERROR(__xludf.DUMMYFUNCTION("IMPORTRANGE(""https://docs.google.com/spreadsheets/d/1QqKyyYR6Q21VydFLVH3TRQUabQu_ym0Zz7PgGX0-kHA/edit?usp=sharing"",""แผน!HS48"")"),130)</f>
        <v>130</v>
      </c>
      <c r="J649" s="892">
        <f ca="1">IFERROR(__xludf.DUMMYFUNCTION("IMPORTRANGE(""https://docs.google.com/spreadsheets/d/1XWAQStnk-4SwqDmLtmXYiTMKHgktTP8We1SCoS47DrQ/edit?usp=sharing"",""จัดที่ดิน!AW48"")"),54)</f>
        <v>54</v>
      </c>
      <c r="K649" s="1010">
        <f t="shared" ca="1" si="271"/>
        <v>41.53846153846154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IFERROR(__xludf.DUMMYFUNCTION("IMPORTRANGE(""https://docs.google.com/spreadsheets/d/1XWAQStnk-4SwqDmLtmXYiTMKHgktTP8We1SCoS47DrQ/edit?usp=sharing"",""จัดที่ดิน!AX48"")"),31.17)</f>
        <v>31.17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IFERROR(__xludf.DUMMYFUNCTION("IMPORTRANGE(""https://docs.google.com/spreadsheets/d/1QqKyyYR6Q21VydFLVH3TRQUabQu_ym0Zz7PgGX0-kHA/edit?usp=sharing"",""แผน!HS48"")"),130)</f>
        <v>130</v>
      </c>
      <c r="J651" s="892">
        <f ca="1">IFERROR(__xludf.DUMMYFUNCTION("IMPORTRANGE(""https://docs.google.com/spreadsheets/d/1XWAQStnk-4SwqDmLtmXYiTMKHgktTP8We1SCoS47DrQ/edit?usp=sharing"",""จัดที่ดิน!AY48"")"),52)</f>
        <v>52</v>
      </c>
      <c r="K651" s="1010">
        <f t="shared" ca="1" si="271"/>
        <v>40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IFERROR(__xludf.DUMMYFUNCTION("IMPORTRANGE(""https://docs.google.com/spreadsheets/d/1XWAQStnk-4SwqDmLtmXYiTMKHgktTP8We1SCoS47DrQ/edit?usp=sharing"",""จัดที่ดิน!AZ48"")"),29.345)</f>
        <v>29.344999999999999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12400</v>
      </c>
      <c r="M655" s="1032">
        <f t="shared" ca="1" si="273"/>
        <v>12400</v>
      </c>
      <c r="N655" s="1032">
        <f t="shared" si="273"/>
        <v>2000</v>
      </c>
      <c r="O655" s="1032">
        <f t="shared" ref="O655:O660" ca="1" si="274">IF(L655&gt;0,N655*100/L655,0)</f>
        <v>16.129032258064516</v>
      </c>
      <c r="P655" s="1032">
        <f t="shared" ref="P655:P660" ca="1" si="275">IF(M655&gt;0,N655*100/M655,0)</f>
        <v>16.129032258064516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12400</v>
      </c>
      <c r="M657" s="899">
        <f t="shared" ca="1" si="276"/>
        <v>12400</v>
      </c>
      <c r="N657" s="899">
        <f t="shared" si="276"/>
        <v>2000</v>
      </c>
      <c r="O657" s="899">
        <f t="shared" ca="1" si="274"/>
        <v>16.129032258064516</v>
      </c>
      <c r="P657" s="899">
        <f t="shared" ca="1" si="275"/>
        <v>16.129032258064516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12400</v>
      </c>
      <c r="M658" s="893">
        <f t="shared" ca="1" si="277"/>
        <v>12400</v>
      </c>
      <c r="N658" s="893">
        <f t="shared" si="277"/>
        <v>2000</v>
      </c>
      <c r="O658" s="893">
        <f t="shared" ca="1" si="274"/>
        <v>16.129032258064516</v>
      </c>
      <c r="P658" s="893">
        <f t="shared" ca="1" si="275"/>
        <v>16.129032258064516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IFERROR(__xludf.DUMMYFUNCTION("IMPORTRANGE(""https://docs.google.com/spreadsheets/d/1QqKyyYR6Q21VydFLVH3TRQUabQu_ym0Zz7PgGX0-kHA/edit?usp=sharing"",""แผน!HV48"")"),12400)</f>
        <v>12400</v>
      </c>
      <c r="M660" s="899">
        <f ca="1">L660</f>
        <v>12400</v>
      </c>
      <c r="N660" s="899">
        <f>N661+N662+N663+N664</f>
        <v>2000</v>
      </c>
      <c r="O660" s="899">
        <f t="shared" ca="1" si="274"/>
        <v>16.129032258064516</v>
      </c>
      <c r="P660" s="899">
        <f t="shared" ca="1" si="275"/>
        <v>16.129032258064516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2000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IFERROR(__xludf.DUMMYFUNCTION("IMPORTRANGE(""https://docs.google.com/spreadsheets/d/1QqKyyYR6Q21VydFLVH3TRQUabQu_ym0Zz7PgGX0-kHA/edit?usp=sharing"",""แผน!IA48"")"),100)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IFERROR(__xludf.DUMMYFUNCTION("IMPORTRANGE(""https://docs.google.com/spreadsheets/d/1QqKyyYR6Q21VydFLVH3TRQUabQu_ym0Zz7PgGX0-kHA/edit?usp=sharing"",""แผน!HZ48"")"),4)</f>
        <v>4</v>
      </c>
      <c r="J670" s="1024">
        <v>4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IFERROR(__xludf.DUMMYFUNCTION("IMPORTRANGE(""https://docs.google.com/spreadsheets/d/1QqKyyYR6Q21VydFLVH3TRQUabQu_ym0Zz7PgGX0-kHA/edit?usp=sharing"",""แผน!HZ48"")"),4)</f>
        <v>4</v>
      </c>
      <c r="J671" s="1024">
        <v>4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IFERROR(__xludf.DUMMYFUNCTION("IMPORTRANGE(""https://docs.google.com/spreadsheets/d/1QqKyyYR6Q21VydFLVH3TRQUabQu_ym0Zz7PgGX0-kHA/edit?usp=sharing"",""แผน!IB48"")"),0)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3080</v>
      </c>
      <c r="M685" s="1032">
        <f t="shared" ca="1" si="282"/>
        <v>3080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3080</v>
      </c>
      <c r="M687" s="899">
        <f t="shared" ca="1" si="285"/>
        <v>3080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3080</v>
      </c>
      <c r="M688" s="893">
        <f t="shared" ca="1" si="286"/>
        <v>3080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IFERROR(__xludf.DUMMYFUNCTION("IMPORTRANGE(""https://docs.google.com/spreadsheets/d/1QqKyyYR6Q21VydFLVH3TRQUabQu_ym0Zz7PgGX0-kHA/edit?usp=sharing"",""แผน!HW48"")"),3080)</f>
        <v>3080</v>
      </c>
      <c r="M690" s="899">
        <f ca="1">L690</f>
        <v>3080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IFERROR(__xludf.DUMMYFUNCTION("IMPORTRANGE(""https://docs.google.com/spreadsheets/d/1QqKyyYR6Q21VydFLVH3TRQUabQu_ym0Zz7PgGX0-kHA/edit?usp=sharing"",""แผน!IC48"")"),0)</f>
        <v>0</v>
      </c>
      <c r="J699" s="892">
        <f ca="1">IFERROR(__xludf.DUMMYFUNCTION("IMPORTRANGE(""https://docs.google.com/spreadsheets/d/1XWAQStnk-4SwqDmLtmXYiTMKHgktTP8We1SCoS47DrQ/edit?usp=sharing"",""จัดที่ดิน!BB48"")"),0)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IFERROR(__xludf.DUMMYFUNCTION("IMPORTRANGE(""https://docs.google.com/spreadsheets/d/1QqKyyYR6Q21VydFLVH3TRQUabQu_ym0Zz7PgGX0-kHA/edit?usp=sharing"",""แผน!ID48"")"),9)</f>
        <v>9</v>
      </c>
      <c r="J700" s="892">
        <f ca="1">IFERROR(__xludf.DUMMYFUNCTION("IMPORTRANGE(""https://docs.google.com/spreadsheets/d/1XWAQStnk-4SwqDmLtmXYiTMKHgktTP8We1SCoS47DrQ/edit?usp=sharing"",""จัดที่ดิน!BD48"")"),0)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IFERROR(__xludf.DUMMYFUNCTION("IMPORTRANGE(""https://docs.google.com/spreadsheets/d/1QqKyyYR6Q21VydFLVH3TRQUabQu_ym0Zz7PgGX0-kHA/edit?usp=sharing"",""แผน!IE48"")"),0)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IFERROR(__xludf.DUMMYFUNCTION("IMPORTRANGE(""https://docs.google.com/spreadsheets/d/1QqKyyYR6Q21VydFLVH3TRQUabQu_ym0Zz7PgGX0-kHA/edit?usp=sharing"",""แผน!IF48"")"),0)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IFERROR(__xludf.DUMMYFUNCTION("IMPORTRANGE(""https://docs.google.com/spreadsheets/d/1QqKyyYR6Q21VydFLVH3TRQUabQu_ym0Zz7PgGX0-kHA/edit?usp=sharing"",""แผน!IG48"")"),0)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IFERROR(__xludf.DUMMYFUNCTION("IMPORTRANGE(""https://docs.google.com/spreadsheets/d/1QqKyyYR6Q21VydFLVH3TRQUabQu_ym0Zz7PgGX0-kHA/edit?usp=sharing"",""แผน!IH48"")"),0)</f>
        <v>0</v>
      </c>
      <c r="J708" s="1031">
        <f>J714+J717</f>
        <v>45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2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45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9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9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45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IFERROR(__xludf.DUMMYFUNCTION("IMPORTRANGE(""https://docs.google.com/spreadsheets/d/1XWAQStnk-4SwqDmLtmXYiTMKHgktTP8We1SCoS47DrQ/edit?usp=sharing"",""จัดที่ดิน!BF48"")"),0)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IFERROR(__xludf.DUMMYFUNCTION("IMPORTRANGE(""https://docs.google.com/spreadsheets/d/1XWAQStnk-4SwqDmLtmXYiTMKHgktTP8We1SCoS47DrQ/edit?usp=sharing"",""จัดที่ดิน!BG48"")"),0)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IFERROR(__xludf.DUMMYFUNCTION("IMPORTRANGE(""https://docs.google.com/spreadsheets/d/1QqKyyYR6Q21VydFLVH3TRQUabQu_ym0Zz7PgGX0-kHA/edit?usp=sharing"",""แผน!II48"")"),0)</f>
        <v>0</v>
      </c>
      <c r="J720" s="892">
        <f ca="1">IFERROR(__xludf.DUMMYFUNCTION("IMPORTRANGE(""https://docs.google.com/spreadsheets/d/1XWAQStnk-4SwqDmLtmXYiTMKHgktTP8We1SCoS47DrQ/edit?usp=sharing"",""จัดที่ดิน!BH48"")"),0)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IFERROR(__xludf.DUMMYFUNCTION("IMPORTRANGE(""https://docs.google.com/spreadsheets/d/1QqKyyYR6Q21VydFLVH3TRQUabQu_ym0Zz7PgGX0-kHA/edit?usp=sharing"",""แผน!IJ48"")"),0)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IFERROR(__xludf.DUMMYFUNCTION("IMPORTRANGE(""https://docs.google.com/spreadsheets/d/1QqKyyYR6Q21VydFLVH3TRQUabQu_ym0Zz7PgGX0-kHA/edit?usp=sharing"",""แผน!IK48"")"),0)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IFERROR(__xludf.DUMMYFUNCTION("IMPORTRANGE(""https://docs.google.com/spreadsheets/d/1QqKyyYR6Q21VydFLVH3TRQUabQu_ym0Zz7PgGX0-kHA/edit?usp=sharing"",""แผน!IL48"")"),0)</f>
        <v>0</v>
      </c>
      <c r="J723" s="892">
        <f ca="1">IFERROR(__xludf.DUMMYFUNCTION("IMPORTRANGE(""https://docs.google.com/spreadsheets/d/1XWAQStnk-4SwqDmLtmXYiTMKHgktTP8We1SCoS47DrQ/edit?usp=sharing"",""จัดที่ดิน!BM48"")"),0)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IFERROR(__xludf.DUMMYFUNCTION("IMPORTRANGE(""https://docs.google.com/spreadsheets/d/1XWAQStnk-4SwqDmLtmXYiTMKHgktTP8We1SCoS47DrQ/edit?usp=sharing"",""จัดที่ดิน!BN48"")"),0)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IFERROR(__xludf.DUMMYFUNCTION("IMPORTRANGE(""https://docs.google.com/spreadsheets/d/1QqKyyYR6Q21VydFLVH3TRQUabQu_ym0Zz7PgGX0-kHA/edit?usp=sharing"",""แผน!IM48"")"),0)</f>
        <v>0</v>
      </c>
      <c r="J725" s="892">
        <f ca="1">IFERROR(__xludf.DUMMYFUNCTION("IMPORTRANGE(""https://docs.google.com/spreadsheets/d/1XWAQStnk-4SwqDmLtmXYiTMKHgktTP8We1SCoS47DrQ/edit?usp=sharing"",""จัดที่ดิน!BO48"")"),0)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IFERROR(__xludf.DUMMYFUNCTION("IMPORTRANGE(""https://docs.google.com/spreadsheets/d/1QqKyyYR6Q21VydFLVH3TRQUabQu_ym0Zz7PgGX0-kHA/edit?usp=sharing"",""แผน!IN48"")"),0)</f>
        <v>0</v>
      </c>
      <c r="J726" s="892">
        <f ca="1">IFERROR(__xludf.DUMMYFUNCTION("IMPORTRANGE(""https://docs.google.com/spreadsheets/d/1XWAQStnk-4SwqDmLtmXYiTMKHgktTP8We1SCoS47DrQ/edit?usp=sharing"",""จัดที่ดิน!BR48"")"),0)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IFERROR(__xludf.DUMMYFUNCTION("IMPORTRANGE(""https://docs.google.com/spreadsheets/d/1XWAQStnk-4SwqDmLtmXYiTMKHgktTP8We1SCoS47DrQ/edit?usp=sharing"",""จัดที่ดิน!BS48"")"),0)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IFERROR(__xludf.DUMMYFUNCTION("IMPORTRANGE(""https://docs.google.com/spreadsheets/d/1QqKyyYR6Q21VydFLVH3TRQUabQu_ym0Zz7PgGX0-kHA/edit?usp=sharing"",""แผน!IO48"")"),0)</f>
        <v>0</v>
      </c>
      <c r="J728" s="892">
        <f ca="1">IFERROR(__xludf.DUMMYFUNCTION("IMPORTRANGE(""https://docs.google.com/spreadsheets/d/1XWAQStnk-4SwqDmLtmXYiTMKHgktTP8We1SCoS47DrQ/edit?usp=sharing"",""จัดที่ดิน!BT48"")"),0)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IFERROR(__xludf.DUMMYFUNCTION("IMPORTRANGE(""https://docs.google.com/spreadsheets/d/1QqKyyYR6Q21VydFLVH3TRQUabQu_ym0Zz7PgGX0-kHA/edit?usp=sharing"",""แผน!IP48"")"),10)</f>
        <v>10</v>
      </c>
      <c r="J729" s="1031">
        <f>J732+J735</f>
        <v>11.85</v>
      </c>
      <c r="K729" s="1032">
        <f t="shared" ca="1" si="293"/>
        <v>118.5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1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1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11.85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4000</v>
      </c>
      <c r="J785" s="804">
        <f t="shared" ca="1" si="318"/>
        <v>1085</v>
      </c>
      <c r="K785" s="805">
        <f ca="1">IF(I785&gt;0,J785*100/I785,0)</f>
        <v>27.125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266560</v>
      </c>
      <c r="M786" s="1032">
        <f t="shared" ca="1" si="319"/>
        <v>266560</v>
      </c>
      <c r="N786" s="1032">
        <f t="shared" si="319"/>
        <v>173824.88</v>
      </c>
      <c r="O786" s="1032">
        <f t="shared" ref="O786:O791" ca="1" si="320">IF(L786&gt;0,N786*100/L786,0)</f>
        <v>65.210414165666265</v>
      </c>
      <c r="P786" s="1032">
        <f t="shared" ref="P786:P791" ca="1" si="321">IF(M786&gt;0,N786*100/M786,0)</f>
        <v>65.210414165666265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266560</v>
      </c>
      <c r="M788" s="899">
        <f t="shared" ca="1" si="322"/>
        <v>266560</v>
      </c>
      <c r="N788" s="899">
        <f t="shared" si="322"/>
        <v>173824.88</v>
      </c>
      <c r="O788" s="899">
        <f t="shared" ca="1" si="320"/>
        <v>65.210414165666265</v>
      </c>
      <c r="P788" s="899">
        <f t="shared" ca="1" si="321"/>
        <v>65.210414165666265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266560</v>
      </c>
      <c r="M789" s="893">
        <f t="shared" ca="1" si="323"/>
        <v>266560</v>
      </c>
      <c r="N789" s="893">
        <f t="shared" si="323"/>
        <v>173824.88</v>
      </c>
      <c r="O789" s="893">
        <f t="shared" ca="1" si="320"/>
        <v>65.210414165666265</v>
      </c>
      <c r="P789" s="893">
        <f t="shared" ca="1" si="321"/>
        <v>65.210414165666265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IFERROR(__xludf.DUMMYFUNCTION("IMPORTRANGE(""https://docs.google.com/spreadsheets/d/1QqKyyYR6Q21VydFLVH3TRQUabQu_ym0Zz7PgGX0-kHA/edit?usp=sharing"",""แผน!JJ48"")"),266560)</f>
        <v>266560</v>
      </c>
      <c r="M791" s="899">
        <f ca="1">L791</f>
        <v>266560</v>
      </c>
      <c r="N791" s="899">
        <f>N792+N793+N794+N795</f>
        <v>173824.88</v>
      </c>
      <c r="O791" s="899">
        <f t="shared" ca="1" si="320"/>
        <v>65.210414165666265</v>
      </c>
      <c r="P791" s="899">
        <f t="shared" ca="1" si="321"/>
        <v>65.210414165666265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61000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v>112824.88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IFERROR(__xludf.DUMMYFUNCTION("IMPORTRANGE(""https://docs.google.com/spreadsheets/d/1MaWodYyGHDf7siQLGxnXhG4mBNTNIuy296niS2xXulU/edit?usp=sharing"",""RTK!H48"")"),60)</f>
        <v>60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IFERROR(__xludf.DUMMYFUNCTION("IMPORTRANGE(""https://docs.google.com/spreadsheets/d/1MaWodYyGHDf7siQLGxnXhG4mBNTNIuy296niS2xXulU/edit?usp=sharing"",""RTK!G48"")"),4000)</f>
        <v>4000</v>
      </c>
      <c r="J801" s="819">
        <f ca="1">IFERROR(__xludf.DUMMYFUNCTION("IMPORTRANGE(""https://docs.google.com/spreadsheets/d/1MaWodYyGHDf7siQLGxnXhG4mBNTNIuy296niS2xXulU/edit?usp=sharing"",""RTK!I48"")"),1085)</f>
        <v>1085</v>
      </c>
      <c r="K801" s="820">
        <f ca="1">IF(I801&gt;0,J801*100/I801,0)</f>
        <v>27.125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521"/>
      <c r="B802" s="1522"/>
      <c r="C802" s="1522"/>
      <c r="D802" s="1522"/>
      <c r="E802" s="1515"/>
      <c r="F802" s="1515" t="s">
        <v>322</v>
      </c>
      <c r="G802" s="1523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IFERROR(__xludf.DUMMYFUNCTION("IMPORTRANGE(""https://docs.google.com/spreadsheets/d/1MaWodYyGHDf7siQLGxnXhG4mBNTNIuy296niS2xXulU/edit?usp=sharing"",""RTK!L48"")"),0)</f>
        <v>0</v>
      </c>
      <c r="K802" s="1511"/>
      <c r="L802" s="1134"/>
      <c r="M802" s="1134"/>
      <c r="N802" s="1134"/>
      <c r="O802" s="1134"/>
      <c r="P802" s="1134"/>
      <c r="Q802" s="1524"/>
      <c r="R802" s="1524"/>
      <c r="S802" s="1524"/>
      <c r="T802" s="1524"/>
      <c r="U802" s="1524"/>
      <c r="V802" s="1524"/>
      <c r="W802" s="1524"/>
      <c r="X802" s="1524"/>
      <c r="Y802" s="1524"/>
      <c r="Z802" s="1524"/>
    </row>
    <row r="803" spans="1:26" ht="18.75">
      <c r="A803" s="1521"/>
      <c r="B803" s="1522"/>
      <c r="C803" s="1522"/>
      <c r="D803" s="1522"/>
      <c r="E803" s="1515"/>
      <c r="F803" s="1515"/>
      <c r="G803" s="1523"/>
      <c r="H803" s="817" t="s">
        <v>46</v>
      </c>
      <c r="I803" s="818">
        <f ca="1">IFERROR(__xludf.DUMMYFUNCTION("IMPORTRANGE(""https://docs.google.com/spreadsheets/d/1MaWodYyGHDf7siQLGxnXhG4mBNTNIuy296niS2xXulU/edit?usp=sharing"",""RTK!K48"")"),0)</f>
        <v>0</v>
      </c>
      <c r="J803" s="819">
        <f ca="1">IFERROR(__xludf.DUMMYFUNCTION("IMPORTRANGE(""https://docs.google.com/spreadsheets/d/1MaWodYyGHDf7siQLGxnXhG4mBNTNIuy296niS2xXulU/edit?usp=sharing"",""RTK!M48"")"),0)</f>
        <v>0</v>
      </c>
      <c r="K803" s="820">
        <f t="shared" ref="K803:K804" ca="1" si="327">IF(I803&gt;0,J803*100/I803,0)</f>
        <v>0</v>
      </c>
      <c r="L803" s="1134"/>
      <c r="M803" s="1134"/>
      <c r="N803" s="1134"/>
      <c r="O803" s="1134"/>
      <c r="P803" s="1134"/>
      <c r="Q803" s="1524"/>
      <c r="R803" s="1524"/>
      <c r="S803" s="1524"/>
      <c r="T803" s="1524"/>
      <c r="U803" s="1524"/>
      <c r="V803" s="1524"/>
      <c r="W803" s="1524"/>
      <c r="X803" s="1524"/>
      <c r="Y803" s="1524"/>
      <c r="Z803" s="1524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892">
        <f ca="1">IFERROR(__xludf.DUMMYFUNCTION("IMPORTRANGE(""https://docs.google.com/spreadsheets/d/19vJNZY_5yjcGF2XGBMNZRCAIB0Kwfpjp8YEOfu-bneM/edit?usp=sharing"",""งานกองทุน!F48"")"),2489561.73)</f>
        <v>2489561.73</v>
      </c>
      <c r="K821" s="893">
        <f t="shared" ref="K821:K828" ca="1" si="336">IF(I821&gt;0,J821*100/I821,0)</f>
        <v>85.414256126783883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IFERROR(__xludf.DUMMYFUNCTION("IMPORTRANGE(""https://docs.google.com/spreadsheets/d/19vJNZY_5yjcGF2XGBMNZRCAIB0Kwfpjp8YEOfu-bneM/edit?usp=sharing"",""งานกองทุน!C48"")"),178)</f>
        <v>178</v>
      </c>
      <c r="J822" s="892">
        <f ca="1">IFERROR(__xludf.DUMMYFUNCTION("IMPORTRANGE(""https://docs.google.com/spreadsheets/d/19vJNZY_5yjcGF2XGBMNZRCAIB0Kwfpjp8YEOfu-bneM/edit?usp=sharing"",""งานกองทุน!E48"")"),162)</f>
        <v>162</v>
      </c>
      <c r="K822" s="893">
        <f t="shared" ca="1" si="336"/>
        <v>91.011235955056179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892">
        <f ca="1">IFERROR(__xludf.DUMMYFUNCTION("IMPORTRANGE(""https://docs.google.com/spreadsheets/d/19vJNZY_5yjcGF2XGBMNZRCAIB0Kwfpjp8YEOfu-bneM/edit?usp=sharing"",""งานกองทุน!K48"")"),292952.55)</f>
        <v>292952.55</v>
      </c>
      <c r="K823" s="893">
        <f t="shared" ca="1" si="336"/>
        <v>12.625223826957978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IFERROR(__xludf.DUMMYFUNCTION("IMPORTRANGE(""https://docs.google.com/spreadsheets/d/19vJNZY_5yjcGF2XGBMNZRCAIB0Kwfpjp8YEOfu-bneM/edit?usp=sharing"",""งานกองทุน!H48"")"),113)</f>
        <v>113</v>
      </c>
      <c r="J824" s="892">
        <f ca="1">IFERROR(__xludf.DUMMYFUNCTION("IMPORTRANGE(""https://docs.google.com/spreadsheets/d/19vJNZY_5yjcGF2XGBMNZRCAIB0Kwfpjp8YEOfu-bneM/edit?usp=sharing"",""งานกองทุน!J48"")"),37)</f>
        <v>37</v>
      </c>
      <c r="K824" s="893">
        <f t="shared" ca="1" si="336"/>
        <v>32.743362831858406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IFERROR(__xludf.DUMMYFUNCTION("IMPORTRANGE(""https://docs.google.com/spreadsheets/d/19vJNZY_5yjcGF2XGBMNZRCAIB0Kwfpjp8YEOfu-bneM/edit?usp=sharing"",""งานกองทุน!N48"")"),0)</f>
        <v>0</v>
      </c>
      <c r="J825" s="892">
        <f ca="1">IFERROR(__xludf.DUMMYFUNCTION("IMPORTRANGE(""https://docs.google.com/spreadsheets/d/19vJNZY_5yjcGF2XGBMNZRCAIB0Kwfpjp8YEOfu-bneM/edit?usp=sharing"",""งานกองทุน!P48"")"),2363)</f>
        <v>2363</v>
      </c>
      <c r="K825" s="893">
        <f t="shared" ca="1" si="336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IFERROR(__xludf.DUMMYFUNCTION("IMPORTRANGE(""https://docs.google.com/spreadsheets/d/19vJNZY_5yjcGF2XGBMNZRCAIB0Kwfpjp8YEOfu-bneM/edit?usp=sharing"",""งานกองทุน!M48"")"),0)</f>
        <v>0</v>
      </c>
      <c r="J826" s="892">
        <f ca="1">IFERROR(__xludf.DUMMYFUNCTION("IMPORTRANGE(""https://docs.google.com/spreadsheets/d/19vJNZY_5yjcGF2XGBMNZRCAIB0Kwfpjp8YEOfu-bneM/edit?usp=sharing"",""งานกองทุน!O48"")"),2)</f>
        <v>2</v>
      </c>
      <c r="K826" s="893">
        <f t="shared" ca="1" si="336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IFERROR(__xludf.DUMMYFUNCTION("IMPORTRANGE(""https://docs.google.com/spreadsheets/d/19vJNZY_5yjcGF2XGBMNZRCAIB0Kwfpjp8YEOfu-bneM/edit?usp=sharing"",""งานกองทุน!S48"")"),4200000)</f>
        <v>4200000</v>
      </c>
      <c r="J827" s="892">
        <f ca="1">IFERROR(__xludf.DUMMYFUNCTION("IMPORTRANGE(""https://docs.google.com/spreadsheets/d/19vJNZY_5yjcGF2XGBMNZRCAIB0Kwfpjp8YEOfu-bneM/edit?usp=sharing"",""งานกองทุน!U48"")"),2000000)</f>
        <v>2000000</v>
      </c>
      <c r="K827" s="893">
        <f t="shared" ca="1" si="336"/>
        <v>47.61904761904762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IFERROR(__xludf.DUMMYFUNCTION("IMPORTRANGE(""https://docs.google.com/spreadsheets/d/19vJNZY_5yjcGF2XGBMNZRCAIB0Kwfpjp8YEOfu-bneM/edit?usp=sharing"",""งานกองทุน!R48"")"),168)</f>
        <v>168</v>
      </c>
      <c r="J828" s="1149">
        <f ca="1">IFERROR(__xludf.DUMMYFUNCTION("IMPORTRANGE(""https://docs.google.com/spreadsheets/d/19vJNZY_5yjcGF2XGBMNZRCAIB0Kwfpjp8YEOfu-bneM/edit?usp=sharing"",""งานกองทุน!T48"")"),57)</f>
        <v>57</v>
      </c>
      <c r="K828" s="1251">
        <f t="shared" ca="1" si="336"/>
        <v>33.928571428571431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516A-A9E4-424B-8E31-F7D68BB5127E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356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4544086</v>
      </c>
      <c r="M8" s="879">
        <f t="shared" ca="1" si="0"/>
        <v>3981111</v>
      </c>
      <c r="N8" s="879">
        <f t="shared" ca="1" si="0"/>
        <v>1842118.4</v>
      </c>
      <c r="O8" s="879">
        <f t="shared" ref="O8:O16" ca="1" si="1">IF(L8&gt;0,N8*100/L8,0)</f>
        <v>40.538810224982541</v>
      </c>
      <c r="P8" s="879">
        <f t="shared" ref="P8:P16" ca="1" si="2">IF(M8&gt;0,N8*100/M8,0)</f>
        <v>46.27146542761556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4544086</v>
      </c>
      <c r="M10" s="886">
        <f t="shared" ca="1" si="3"/>
        <v>3981111</v>
      </c>
      <c r="N10" s="886">
        <f t="shared" ca="1" si="3"/>
        <v>1842118.4</v>
      </c>
      <c r="O10" s="886">
        <f t="shared" ca="1" si="1"/>
        <v>40.538810224982541</v>
      </c>
      <c r="P10" s="886">
        <f t="shared" ca="1" si="2"/>
        <v>46.27146542761556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4448686</v>
      </c>
      <c r="M11" s="893">
        <f t="shared" ca="1" si="4"/>
        <v>3885711</v>
      </c>
      <c r="N11" s="893">
        <f t="shared" ca="1" si="4"/>
        <v>1746718.4</v>
      </c>
      <c r="O11" s="893">
        <f t="shared" ca="1" si="1"/>
        <v>39.263692694876646</v>
      </c>
      <c r="P11" s="893">
        <f t="shared" ca="1" si="2"/>
        <v>44.952349775884002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4448686</v>
      </c>
      <c r="M13" s="899">
        <f t="shared" ca="1" si="5"/>
        <v>3885711</v>
      </c>
      <c r="N13" s="899">
        <f t="shared" ca="1" si="5"/>
        <v>1746718.4</v>
      </c>
      <c r="O13" s="899">
        <f t="shared" ca="1" si="1"/>
        <v>39.263692694876646</v>
      </c>
      <c r="P13" s="899">
        <f t="shared" ca="1" si="2"/>
        <v>44.952349775884002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95400</v>
      </c>
      <c r="M14" s="893">
        <f t="shared" ca="1" si="6"/>
        <v>95400</v>
      </c>
      <c r="N14" s="893">
        <f t="shared" ca="1" si="6"/>
        <v>95400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95400</v>
      </c>
      <c r="M16" s="905">
        <f t="shared" ca="1" si="7"/>
        <v>95400</v>
      </c>
      <c r="N16" s="905">
        <f t="shared" ca="1" si="7"/>
        <v>95400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3055725</v>
      </c>
      <c r="M18" s="879">
        <f t="shared" ca="1" si="8"/>
        <v>2492750</v>
      </c>
      <c r="N18" s="879">
        <f t="shared" ca="1" si="8"/>
        <v>1554738.4</v>
      </c>
      <c r="O18" s="879">
        <f t="shared" ref="O18:O26" ca="1" si="9">IF(L18&gt;0,N18*100/L18,0)</f>
        <v>50.879526135368856</v>
      </c>
      <c r="P18" s="879">
        <f t="shared" ref="P18:P26" ca="1" si="10">IF(M18&gt;0,N18*100/M18,0)</f>
        <v>62.370410189549695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3055725</v>
      </c>
      <c r="M20" s="886">
        <f t="shared" ca="1" si="11"/>
        <v>2492750</v>
      </c>
      <c r="N20" s="886">
        <f t="shared" ca="1" si="11"/>
        <v>1554738.4</v>
      </c>
      <c r="O20" s="886">
        <f t="shared" ca="1" si="9"/>
        <v>50.879526135368856</v>
      </c>
      <c r="P20" s="886">
        <f t="shared" ca="1" si="10"/>
        <v>62.370410189549695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2960325</v>
      </c>
      <c r="M21" s="893">
        <f t="shared" ca="1" si="12"/>
        <v>2397350</v>
      </c>
      <c r="N21" s="893">
        <f t="shared" ca="1" si="12"/>
        <v>1459338.4</v>
      </c>
      <c r="O21" s="893">
        <f t="shared" ca="1" si="9"/>
        <v>49.296560343881161</v>
      </c>
      <c r="P21" s="893">
        <f t="shared" ca="1" si="10"/>
        <v>60.872980582726761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2960325</v>
      </c>
      <c r="M23" s="899">
        <f t="shared" ca="1" si="13"/>
        <v>2397350</v>
      </c>
      <c r="N23" s="899">
        <f t="shared" ca="1" si="13"/>
        <v>1459338.4</v>
      </c>
      <c r="O23" s="899">
        <f t="shared" ca="1" si="9"/>
        <v>49.296560343881161</v>
      </c>
      <c r="P23" s="899">
        <f t="shared" ca="1" si="10"/>
        <v>60.872980582726761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95400</v>
      </c>
      <c r="M24" s="893">
        <f t="shared" ca="1" si="14"/>
        <v>95400</v>
      </c>
      <c r="N24" s="893">
        <f t="shared" ca="1" si="14"/>
        <v>95400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95400</v>
      </c>
      <c r="M26" s="905">
        <f t="shared" ca="1" si="15"/>
        <v>95400</v>
      </c>
      <c r="N26" s="905">
        <f t="shared" ca="1" si="15"/>
        <v>95400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1488361</v>
      </c>
      <c r="M28" s="879">
        <f t="shared" ca="1" si="16"/>
        <v>1488361</v>
      </c>
      <c r="N28" s="879">
        <f t="shared" si="16"/>
        <v>287380</v>
      </c>
      <c r="O28" s="879">
        <f t="shared" ref="O28:O37" ca="1" si="17">IF(L28&gt;0,N28*100/L28,0)</f>
        <v>19.30848765857208</v>
      </c>
      <c r="P28" s="879">
        <f t="shared" ref="P28:P37" ca="1" si="18">IF(M28&gt;0,N28*100/M28,0)</f>
        <v>19.30848765857208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1488361</v>
      </c>
      <c r="M30" s="886">
        <f t="shared" ca="1" si="19"/>
        <v>1488361</v>
      </c>
      <c r="N30" s="886">
        <f t="shared" si="19"/>
        <v>287380</v>
      </c>
      <c r="O30" s="886">
        <f t="shared" ca="1" si="17"/>
        <v>19.30848765857208</v>
      </c>
      <c r="P30" s="886">
        <f t="shared" ca="1" si="18"/>
        <v>19.30848765857208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1488361</v>
      </c>
      <c r="M31" s="893">
        <f t="shared" ca="1" si="20"/>
        <v>1488361</v>
      </c>
      <c r="N31" s="893">
        <f t="shared" si="20"/>
        <v>287380</v>
      </c>
      <c r="O31" s="893">
        <f t="shared" ca="1" si="17"/>
        <v>19.30848765857208</v>
      </c>
      <c r="P31" s="893">
        <f t="shared" ca="1" si="18"/>
        <v>19.30848765857208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1488361</v>
      </c>
      <c r="M33" s="899">
        <f t="shared" ca="1" si="21"/>
        <v>1488361</v>
      </c>
      <c r="N33" s="899">
        <f t="shared" si="21"/>
        <v>287380</v>
      </c>
      <c r="O33" s="899">
        <f t="shared" ca="1" si="17"/>
        <v>19.30848765857208</v>
      </c>
      <c r="P33" s="899">
        <f t="shared" ca="1" si="18"/>
        <v>19.30848765857208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3055725</v>
      </c>
      <c r="M37" s="912">
        <f t="shared" ca="1" si="24"/>
        <v>2492750</v>
      </c>
      <c r="N37" s="912">
        <f t="shared" ca="1" si="24"/>
        <v>1554738.4</v>
      </c>
      <c r="O37" s="912">
        <f t="shared" ca="1" si="17"/>
        <v>50.879526135368856</v>
      </c>
      <c r="P37" s="912">
        <f t="shared" ca="1" si="18"/>
        <v>62.370410189549695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440300</v>
      </c>
      <c r="M41" s="938">
        <f t="shared" ca="1" si="25"/>
        <v>440300</v>
      </c>
      <c r="N41" s="938">
        <f t="shared" ca="1" si="25"/>
        <v>220045.08</v>
      </c>
      <c r="O41" s="938">
        <f t="shared" ref="O41:O49" ca="1" si="26">IF(L41&gt;0,N41*100/L41,0)</f>
        <v>49.976170792641383</v>
      </c>
      <c r="P41" s="938">
        <f t="shared" ref="P41:P49" ca="1" si="27">IF(M41&gt;0,N41*100/M41,0)</f>
        <v>49.976170792641383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440300</v>
      </c>
      <c r="M43" s="944">
        <f t="shared" ca="1" si="28"/>
        <v>440300</v>
      </c>
      <c r="N43" s="944">
        <f t="shared" ca="1" si="28"/>
        <v>220045.08</v>
      </c>
      <c r="O43" s="944">
        <f t="shared" ca="1" si="26"/>
        <v>49.976170792641383</v>
      </c>
      <c r="P43" s="944">
        <f t="shared" ca="1" si="27"/>
        <v>49.976170792641383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440300</v>
      </c>
      <c r="M44" s="893">
        <f t="shared" ca="1" si="29"/>
        <v>440300</v>
      </c>
      <c r="N44" s="893">
        <f t="shared" ca="1" si="29"/>
        <v>220045.08</v>
      </c>
      <c r="O44" s="893">
        <f t="shared" ca="1" si="26"/>
        <v>49.976170792641383</v>
      </c>
      <c r="P44" s="893">
        <f t="shared" ca="1" si="27"/>
        <v>49.976170792641383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IFERROR(__xludf.DUMMYFUNCTION("IMPORTRANGE(""https://docs.google.com/spreadsheets/d/1MeEWN-I1oV_STSDYn1IFDPWt_1FKiwhDph83XaGc0o0/edit?usp=sharing"",""งบพรบ!M49"")"),440300)</f>
        <v>440300</v>
      </c>
      <c r="M46" s="899">
        <f ca="1">IFERROR(__xludf.DUMMYFUNCTION("IMPORTRANGE(""https://docs.google.com/spreadsheets/d/1MeEWN-I1oV_STSDYn1IFDPWt_1FKiwhDph83XaGc0o0/edit?usp=sharing"",""งบพรบ!R49"")"),440300)</f>
        <v>440300</v>
      </c>
      <c r="N46" s="899">
        <f ca="1">IFERROR(__xludf.DUMMYFUNCTION("IMPORTRANGE(""https://docs.google.com/spreadsheets/d/1MeEWN-I1oV_STSDYn1IFDPWt_1FKiwhDph83XaGc0o0/edit?usp=sharing"",""งบพรบ!T49"")"),220045.08)</f>
        <v>220045.08</v>
      </c>
      <c r="O46" s="899">
        <f t="shared" ca="1" si="26"/>
        <v>49.976170792641383</v>
      </c>
      <c r="P46" s="899">
        <f t="shared" ca="1" si="27"/>
        <v>49.976170792641383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IFERROR(__xludf.DUMMYFUNCTION("IMPORTRANGE(""https://docs.google.com/spreadsheets/d/1MeEWN-I1oV_STSDYn1IFDPWt_1FKiwhDph83XaGc0o0/edit?usp=sharing"",""งบพรบ!P49"")"),0)</f>
        <v>0</v>
      </c>
      <c r="M49" s="905">
        <f ca="1">IFERROR(__xludf.DUMMYFUNCTION("IMPORTRANGE(""https://docs.google.com/spreadsheets/d/1MeEWN-I1oV_STSDYn1IFDPWt_1FKiwhDph83XaGc0o0/edit?usp=sharing"",""งบพรบ!S49"")"),0)</f>
        <v>0</v>
      </c>
      <c r="N49" s="905">
        <f ca="1">IFERROR(__xludf.DUMMYFUNCTION("IMPORTRANGE(""https://docs.google.com/spreadsheets/d/1MeEWN-I1oV_STSDYn1IFDPWt_1FKiwhDph83XaGc0o0/edit?usp=sharing"",""งบพรบ!U49"")"),0)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661900</v>
      </c>
      <c r="M53" s="968">
        <f t="shared" ca="1" si="31"/>
        <v>496425</v>
      </c>
      <c r="N53" s="968">
        <f t="shared" ca="1" si="31"/>
        <v>335668.32</v>
      </c>
      <c r="O53" s="968">
        <f t="shared" ref="O53:O61" ca="1" si="32">IF(L53&gt;0,N53*100/L53,0)</f>
        <v>50.712844840610366</v>
      </c>
      <c r="P53" s="968">
        <f t="shared" ref="P53:P61" ca="1" si="33">IF(M53&gt;0,N53*100/M53,0)</f>
        <v>67.617126454147154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661900</v>
      </c>
      <c r="M55" s="974">
        <f t="shared" ca="1" si="34"/>
        <v>496425</v>
      </c>
      <c r="N55" s="974">
        <f t="shared" ca="1" si="34"/>
        <v>335668.32</v>
      </c>
      <c r="O55" s="974">
        <f t="shared" ca="1" si="32"/>
        <v>50.712844840610366</v>
      </c>
      <c r="P55" s="974">
        <f t="shared" ca="1" si="33"/>
        <v>67.617126454147154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661900</v>
      </c>
      <c r="M56" s="893">
        <f t="shared" ca="1" si="35"/>
        <v>496425</v>
      </c>
      <c r="N56" s="893">
        <f t="shared" ca="1" si="35"/>
        <v>335668.32</v>
      </c>
      <c r="O56" s="893">
        <f t="shared" ca="1" si="32"/>
        <v>50.712844840610366</v>
      </c>
      <c r="P56" s="893">
        <f t="shared" ca="1" si="33"/>
        <v>67.617126454147154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IFERROR(__xludf.DUMMYFUNCTION("IMPORTRANGE(""https://docs.google.com/spreadsheets/d/1MeEWN-I1oV_STSDYn1IFDPWt_1FKiwhDph83XaGc0o0/edit?usp=sharing"",""งบพรบ!W49"")"),661900)</f>
        <v>661900</v>
      </c>
      <c r="M58" s="899">
        <f ca="1">IFERROR(__xludf.DUMMYFUNCTION("IMPORTRANGE(""https://docs.google.com/spreadsheets/d/1MeEWN-I1oV_STSDYn1IFDPWt_1FKiwhDph83XaGc0o0/edit?usp=sharing"",""งบพรบ!AB49"")"),496425)</f>
        <v>496425</v>
      </c>
      <c r="N58" s="899">
        <f ca="1">IFERROR(__xludf.DUMMYFUNCTION("IMPORTRANGE(""https://docs.google.com/spreadsheets/d/1MeEWN-I1oV_STSDYn1IFDPWt_1FKiwhDph83XaGc0o0/edit?usp=sharing"",""งบพรบ!AD49"")"),335668.32)</f>
        <v>335668.32</v>
      </c>
      <c r="O58" s="899">
        <f t="shared" ca="1" si="32"/>
        <v>50.712844840610366</v>
      </c>
      <c r="P58" s="899">
        <f t="shared" ca="1" si="33"/>
        <v>67.617126454147154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IFERROR(__xludf.DUMMYFUNCTION("IMPORTRANGE(""https://docs.google.com/spreadsheets/d/1MeEWN-I1oV_STSDYn1IFDPWt_1FKiwhDph83XaGc0o0/edit?usp=sharing"",""งบพรบ!Z49"")"),0)</f>
        <v>0</v>
      </c>
      <c r="M61" s="905">
        <f ca="1">IFERROR(__xludf.DUMMYFUNCTION("IMPORTRANGE(""https://docs.google.com/spreadsheets/d/1MeEWN-I1oV_STSDYn1IFDPWt_1FKiwhDph83XaGc0o0/edit?usp=sharing"",""งบพรบ!AC49"")"),0)</f>
        <v>0</v>
      </c>
      <c r="N61" s="905">
        <f ca="1">IFERROR(__xludf.DUMMYFUNCTION("IMPORTRANGE(""https://docs.google.com/spreadsheets/d/1MeEWN-I1oV_STSDYn1IFDPWt_1FKiwhDph83XaGc0o0/edit?usp=sharing"",""งบพรบ!AE49"")"),0)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48</v>
      </c>
      <c r="J65" s="994">
        <f t="shared" si="37"/>
        <v>48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781500</v>
      </c>
      <c r="M66" s="1004">
        <f t="shared" ca="1" si="39"/>
        <v>589970</v>
      </c>
      <c r="N66" s="1004">
        <f t="shared" ca="1" si="39"/>
        <v>284435</v>
      </c>
      <c r="O66" s="1004">
        <f t="shared" ref="O66:O74" ca="1" si="40">IF(L66&gt;0,N66*100/L66,0)</f>
        <v>36.396033269353808</v>
      </c>
      <c r="P66" s="1004">
        <f t="shared" ref="P66:P74" ca="1" si="41">IF(M66&gt;0,N66*100/M66,0)</f>
        <v>48.211773480007459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781500</v>
      </c>
      <c r="M68" s="899">
        <f t="shared" ca="1" si="42"/>
        <v>589970</v>
      </c>
      <c r="N68" s="899">
        <f t="shared" ca="1" si="42"/>
        <v>284435</v>
      </c>
      <c r="O68" s="899">
        <f t="shared" ca="1" si="40"/>
        <v>36.396033269353808</v>
      </c>
      <c r="P68" s="899">
        <f t="shared" ca="1" si="41"/>
        <v>48.211773480007459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781500</v>
      </c>
      <c r="M69" s="893">
        <f t="shared" ca="1" si="43"/>
        <v>589970</v>
      </c>
      <c r="N69" s="893">
        <f t="shared" ca="1" si="43"/>
        <v>284435</v>
      </c>
      <c r="O69" s="893">
        <f t="shared" ca="1" si="40"/>
        <v>36.396033269353808</v>
      </c>
      <c r="P69" s="893">
        <f t="shared" ca="1" si="41"/>
        <v>48.211773480007459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IFERROR(__xludf.DUMMYFUNCTION("IMPORTRANGE(""https://docs.google.com/spreadsheets/d/1MeEWN-I1oV_STSDYn1IFDPWt_1FKiwhDph83XaGc0o0/edit?usp=sharing"",""งบพรบ!AG49"")"),781500)</f>
        <v>781500</v>
      </c>
      <c r="M71" s="899">
        <f ca="1">IFERROR(__xludf.DUMMYFUNCTION("IMPORTRANGE(""https://docs.google.com/spreadsheets/d/1MeEWN-I1oV_STSDYn1IFDPWt_1FKiwhDph83XaGc0o0/edit?usp=sharing"",""งบพรบ!AL49"")"),589970)</f>
        <v>589970</v>
      </c>
      <c r="N71" s="899">
        <f ca="1">IFERROR(__xludf.DUMMYFUNCTION("IMPORTRANGE(""https://docs.google.com/spreadsheets/d/1MeEWN-I1oV_STSDYn1IFDPWt_1FKiwhDph83XaGc0o0/edit?usp=sharing"",""งบพรบ!AN49"")"),284435)</f>
        <v>284435</v>
      </c>
      <c r="O71" s="899">
        <f t="shared" ca="1" si="40"/>
        <v>36.396033269353808</v>
      </c>
      <c r="P71" s="899">
        <f t="shared" ca="1" si="41"/>
        <v>48.211773480007459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IFERROR(__xludf.DUMMYFUNCTION("IMPORTRANGE(""https://docs.google.com/spreadsheets/d/1MeEWN-I1oV_STSDYn1IFDPWt_1FKiwhDph83XaGc0o0/edit?usp=sharing"",""งบพรบ!AJ49"")"),0)</f>
        <v>0</v>
      </c>
      <c r="M74" s="899">
        <f ca="1">IFERROR(__xludf.DUMMYFUNCTION("IMPORTRANGE(""https://docs.google.com/spreadsheets/d/1MeEWN-I1oV_STSDYn1IFDPWt_1FKiwhDph83XaGc0o0/edit?usp=sharing"",""งบพรบ!AM49"")"),0)</f>
        <v>0</v>
      </c>
      <c r="N74" s="899">
        <f ca="1">IFERROR(__xludf.DUMMYFUNCTION("IMPORTRANGE(""https://docs.google.com/spreadsheets/d/1MeEWN-I1oV_STSDYn1IFDPWt_1FKiwhDph83XaGc0o0/edit?usp=sharing"",""งบพรบ!AO49"")"),0)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48</v>
      </c>
      <c r="J77" s="892">
        <f t="shared" si="45"/>
        <v>48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IFERROR(__xludf.DUMMYFUNCTION("IMPORTRANGE(""https://docs.google.com/spreadsheets/d/1QqKyyYR6Q21VydFLVH3TRQUabQu_ym0Zz7PgGX0-kHA/edit?usp=sharing"",""แผน!H49"")"),0)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IFERROR(__xludf.DUMMYFUNCTION("IMPORTRANGE(""https://docs.google.com/spreadsheets/d/1QqKyyYR6Q21VydFLVH3TRQUabQu_ym0Zz7PgGX0-kHA/edit?usp=sharing"",""แผน!I49"")"),0)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IFERROR(__xludf.DUMMYFUNCTION("IMPORTRANGE(""https://docs.google.com/spreadsheets/d/1QqKyyYR6Q21VydFLVH3TRQUabQu_ym0Zz7PgGX0-kHA/edit?usp=sharing"",""แผน!F49"")"),0)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IFERROR(__xludf.DUMMYFUNCTION("IMPORTRANGE(""https://docs.google.com/spreadsheets/d/1QqKyyYR6Q21VydFLVH3TRQUabQu_ym0Zz7PgGX0-kHA/edit?usp=sharing"",""แผน!G49"")"),0)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IFERROR(__xludf.DUMMYFUNCTION("IMPORTRANGE(""https://docs.google.com/spreadsheets/d/1QqKyyYR6Q21VydFLVH3TRQUabQu_ym0Zz7PgGX0-kHA/edit?usp=sharing"",""แผน!D49"")"),1)</f>
        <v>1</v>
      </c>
      <c r="J82" s="1024">
        <v>1</v>
      </c>
      <c r="K82" s="1010">
        <f t="shared" ca="1" si="46"/>
        <v>100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IFERROR(__xludf.DUMMYFUNCTION("IMPORTRANGE(""https://docs.google.com/spreadsheets/d/1QqKyyYR6Q21VydFLVH3TRQUabQu_ym0Zz7PgGX0-kHA/edit?usp=sharing"",""แผน!E49"")"),48)</f>
        <v>48</v>
      </c>
      <c r="J83" s="1024">
        <v>48</v>
      </c>
      <c r="K83" s="1010">
        <f t="shared" ca="1" si="46"/>
        <v>100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IFERROR(__xludf.DUMMYFUNCTION("IMPORTRANGE(""https://docs.google.com/spreadsheets/d/1QqKyyYR6Q21VydFLVH3TRQUabQu_ym0Zz7PgGX0-kHA/edit?usp=sharing"",""แผน!J49"")"),1)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56040</v>
      </c>
      <c r="M88" s="1004">
        <f t="shared" ca="1" si="49"/>
        <v>72090</v>
      </c>
      <c r="N88" s="1004">
        <f t="shared" ca="1" si="49"/>
        <v>71930</v>
      </c>
      <c r="O88" s="1004">
        <f t="shared" ref="O88:O96" ca="1" si="50">IF(L88&gt;0,N88*100/L88,0)</f>
        <v>128.35474660956459</v>
      </c>
      <c r="P88" s="1004">
        <f t="shared" ref="P88:P96" ca="1" si="51">IF(M88&gt;0,N88*100/M88,0)</f>
        <v>99.778055208766816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56040</v>
      </c>
      <c r="M90" s="899">
        <f t="shared" ca="1" si="52"/>
        <v>72090</v>
      </c>
      <c r="N90" s="899">
        <f t="shared" ca="1" si="52"/>
        <v>71930</v>
      </c>
      <c r="O90" s="899">
        <f t="shared" ca="1" si="50"/>
        <v>128.35474660956459</v>
      </c>
      <c r="P90" s="899">
        <f t="shared" ca="1" si="51"/>
        <v>99.778055208766816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56040</v>
      </c>
      <c r="M91" s="893">
        <f t="shared" ca="1" si="53"/>
        <v>72090</v>
      </c>
      <c r="N91" s="893">
        <f t="shared" ca="1" si="53"/>
        <v>71930</v>
      </c>
      <c r="O91" s="893">
        <f t="shared" ca="1" si="50"/>
        <v>128.35474660956459</v>
      </c>
      <c r="P91" s="893">
        <f t="shared" ca="1" si="51"/>
        <v>99.778055208766816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IFERROR(__xludf.DUMMYFUNCTION("IMPORTRANGE(""https://docs.google.com/spreadsheets/d/1MeEWN-I1oV_STSDYn1IFDPWt_1FKiwhDph83XaGc0o0/edit?usp=sharing"",""งบพรบ!AQ49"")"),56040)</f>
        <v>56040</v>
      </c>
      <c r="M93" s="899">
        <f ca="1">IFERROR(__xludf.DUMMYFUNCTION("IMPORTRANGE(""https://docs.google.com/spreadsheets/d/1MeEWN-I1oV_STSDYn1IFDPWt_1FKiwhDph83XaGc0o0/edit?usp=sharing"",""งบพรบ!AV49"")"),72090)</f>
        <v>72090</v>
      </c>
      <c r="N93" s="899">
        <f ca="1">IFERROR(__xludf.DUMMYFUNCTION("IMPORTRANGE(""https://docs.google.com/spreadsheets/d/1MeEWN-I1oV_STSDYn1IFDPWt_1FKiwhDph83XaGc0o0/edit?usp=sharing"",""งบพรบ!AX49"")"),71930)</f>
        <v>71930</v>
      </c>
      <c r="O93" s="899">
        <f t="shared" ca="1" si="50"/>
        <v>128.35474660956459</v>
      </c>
      <c r="P93" s="899">
        <f t="shared" ca="1" si="51"/>
        <v>99.778055208766816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IFERROR(__xludf.DUMMYFUNCTION("IMPORTRANGE(""https://docs.google.com/spreadsheets/d/1MeEWN-I1oV_STSDYn1IFDPWt_1FKiwhDph83XaGc0o0/edit?usp=sharing"",""งบพรบ!AT49"")"),0)</f>
        <v>0</v>
      </c>
      <c r="M96" s="899">
        <f ca="1">IFERROR(__xludf.DUMMYFUNCTION("IMPORTRANGE(""https://docs.google.com/spreadsheets/d/1MeEWN-I1oV_STSDYn1IFDPWt_1FKiwhDph83XaGc0o0/edit?usp=sharing"",""งบพรบ!AW49"")"),0)</f>
        <v>0</v>
      </c>
      <c r="N96" s="899">
        <f ca="1">IFERROR(__xludf.DUMMYFUNCTION("IMPORTRANGE(""https://docs.google.com/spreadsheets/d/1MeEWN-I1oV_STSDYn1IFDPWt_1FKiwhDph83XaGc0o0/edit?usp=sharing"",""งบพรบ!AY49"")"),0)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IFERROR(__xludf.DUMMYFUNCTION("IMPORTRANGE(""https://docs.google.com/spreadsheets/d/1QqKyyYR6Q21VydFLVH3TRQUabQu_ym0Zz7PgGX0-kHA/edit?usp=sharing"",""แผน!K49"")"),30)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IFERROR(__xludf.DUMMYFUNCTION("IMPORTRANGE(""https://docs.google.com/spreadsheets/d/1QqKyyYR6Q21VydFLVH3TRQUabQu_ym0Zz7PgGX0-kHA/edit?usp=sharing"",""แผน!L49"")"),10)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IFERROR(__xludf.DUMMYFUNCTION("IMPORTRANGE(""https://docs.google.com/spreadsheets/d/1QqKyyYR6Q21VydFLVH3TRQUabQu_ym0Zz7PgGX0-kHA/edit?usp=sharing"",""แผน!M49"")"),1)</f>
        <v>1</v>
      </c>
      <c r="J100" s="892">
        <f>J107+J110</f>
        <v>1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IFERROR(__xludf.DUMMYFUNCTION("IMPORTRANGE(""https://docs.google.com/spreadsheets/d/1QqKyyYR6Q21VydFLVH3TRQUabQu_ym0Zz7PgGX0-kHA/edit?usp=sharing"",""แผน!N49"")"),30)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IFERROR(__xludf.DUMMYFUNCTION("IMPORTRANGE(""https://docs.google.com/spreadsheets/d/1QqKyyYR6Q21VydFLVH3TRQUabQu_ym0Zz7PgGX0-kHA/edit?usp=sharing"",""แผน!O49"")"),10)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IFERROR(__xludf.DUMMYFUNCTION("IMPORTRANGE(""https://docs.google.com/spreadsheets/d/1QqKyyYR6Q21VydFLVH3TRQUabQu_ym0Zz7PgGX0-kHA/edit?usp=sharing"",""แผน!O49"")"),10)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IFERROR(__xludf.DUMMYFUNCTION("IMPORTRANGE(""https://docs.google.com/spreadsheets/d/1QqKyyYR6Q21VydFLVH3TRQUabQu_ym0Zz7PgGX0-kHA/edit?usp=sharing"",""แผน!P49"")"),1)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IFERROR(__xludf.DUMMYFUNCTION("IMPORTRANGE(""https://docs.google.com/spreadsheets/d/1QqKyyYR6Q21VydFLVH3TRQUabQu_ym0Zz7PgGX0-kHA/edit?usp=sharing"",""แผน!P49"")"),1)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IFERROR(__xludf.DUMMYFUNCTION("IMPORTRANGE(""https://docs.google.com/spreadsheets/d/1QqKyyYR6Q21VydFLVH3TRQUabQu_ym0Zz7PgGX0-kHA/edit?usp=sharing"",""แผน!Q49"")"),0)</f>
        <v>0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IFERROR(__xludf.DUMMYFUNCTION("IMPORTRANGE(""https://docs.google.com/spreadsheets/d/1QqKyyYR6Q21VydFLVH3TRQUabQu_ym0Zz7PgGX0-kHA/edit?usp=sharing"",""แผน!Q49"")"),0)</f>
        <v>0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IFERROR(__xludf.DUMMYFUNCTION("IMPORTRANGE(""https://docs.google.com/spreadsheets/d/1QqKyyYR6Q21VydFLVH3TRQUabQu_ym0Zz7PgGX0-kHA/edit?usp=sharing"",""แผน!R49"")"),10)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1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IFERROR(__xludf.DUMMYFUNCTION("IMPORTRANGE(""https://docs.google.com/spreadsheets/d/1QqKyyYR6Q21VydFLVH3TRQUabQu_ym0Zz7PgGX0-kHA/edit?usp=sharing"",""แผน!R49"")"),10)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IFERROR(__xludf.DUMMYFUNCTION("IMPORTRANGE(""https://docs.google.com/spreadsheets/d/1QqKyyYR6Q21VydFLVH3TRQUabQu_ym0Zz7PgGX0-kHA/edit?usp=sharing"",""แผน!R49"")"),10)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IFERROR(__xludf.DUMMYFUNCTION("IMPORTRANGE(""https://docs.google.com/spreadsheets/d/1QqKyyYR6Q21VydFLVH3TRQUabQu_ym0Zz7PgGX0-kHA/edit?usp=sharing"",""แผน!S49"")"),1)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IFERROR(__xludf.DUMMYFUNCTION("IMPORTRANGE(""https://docs.google.com/spreadsheets/d/1QqKyyYR6Q21VydFLVH3TRQUabQu_ym0Zz7PgGX0-kHA/edit?usp=sharing"",""แผน!T49"")"),0)</f>
        <v>0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IFERROR(__xludf.DUMMYFUNCTION("IMPORTRANGE(""https://docs.google.com/spreadsheets/d/1MeEWN-I1oV_STSDYn1IFDPWt_1FKiwhDph83XaGc0o0/edit?usp=sharing"",""งบพรบ!BA49"")"),0)</f>
        <v>0</v>
      </c>
      <c r="M124" s="899">
        <f ca="1">IFERROR(__xludf.DUMMYFUNCTION("IMPORTRANGE(""https://docs.google.com/spreadsheets/d/1MeEWN-I1oV_STSDYn1IFDPWt_1FKiwhDph83XaGc0o0/edit?usp=sharing"",""งบพรบ!BF49"")"),0)</f>
        <v>0</v>
      </c>
      <c r="N124" s="899">
        <f ca="1">IFERROR(__xludf.DUMMYFUNCTION("IMPORTRANGE(""https://docs.google.com/spreadsheets/d/1MeEWN-I1oV_STSDYn1IFDPWt_1FKiwhDph83XaGc0o0/edit?usp=sharing"",""งบพรบ!BH49"")"),0)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IFERROR(__xludf.DUMMYFUNCTION("IMPORTRANGE(""https://docs.google.com/spreadsheets/d/1MeEWN-I1oV_STSDYn1IFDPWt_1FKiwhDph83XaGc0o0/edit?usp=sharing"",""งบพรบ!BD49"")"),0)</f>
        <v>0</v>
      </c>
      <c r="M127" s="899">
        <f ca="1">IFERROR(__xludf.DUMMYFUNCTION("IMPORTRANGE(""https://docs.google.com/spreadsheets/d/1MeEWN-I1oV_STSDYn1IFDPWt_1FKiwhDph83XaGc0o0/edit?usp=sharing"",""งบพรบ!BG49"")"),0)</f>
        <v>0</v>
      </c>
      <c r="N127" s="899">
        <f ca="1">IFERROR(__xludf.DUMMYFUNCTION("IMPORTRANGE(""https://docs.google.com/spreadsheets/d/1MeEWN-I1oV_STSDYn1IFDPWt_1FKiwhDph83XaGc0o0/edit?usp=sharing"",""งบพรบ!BI49"")"),0)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IFERROR(__xludf.DUMMYFUNCTION("IMPORTRANGE(""https://docs.google.com/spreadsheets/d/1MeEWN-I1oV_STSDYn1IFDPWt_1FKiwhDph83XaGc0o0/edit?usp=sharing"",""งบพรบ!BK49"")"),0)</f>
        <v>0</v>
      </c>
      <c r="M137" s="899">
        <f ca="1">IFERROR(__xludf.DUMMYFUNCTION("IMPORTRANGE(""https://docs.google.com/spreadsheets/d/1MeEWN-I1oV_STSDYn1IFDPWt_1FKiwhDph83XaGc0o0/edit?usp=sharing"",""งบพรบ!BP49"")"),0)</f>
        <v>0</v>
      </c>
      <c r="N137" s="899">
        <f ca="1">IFERROR(__xludf.DUMMYFUNCTION("IMPORTRANGE(""https://docs.google.com/spreadsheets/d/1MeEWN-I1oV_STSDYn1IFDPWt_1FKiwhDph83XaGc0o0/edit?usp=sharing"",""งบพรบ!BR49"")"),0)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IFERROR(__xludf.DUMMYFUNCTION("IMPORTRANGE(""https://docs.google.com/spreadsheets/d/1MeEWN-I1oV_STSDYn1IFDPWt_1FKiwhDph83XaGc0o0/edit?usp=sharing"",""งบพรบ!BN49"")"),0)</f>
        <v>0</v>
      </c>
      <c r="M140" s="899">
        <f ca="1">IFERROR(__xludf.DUMMYFUNCTION("IMPORTRANGE(""https://docs.google.com/spreadsheets/d/1MeEWN-I1oV_STSDYn1IFDPWt_1FKiwhDph83XaGc0o0/edit?usp=sharing"",""งบพรบ!BQ49"")"),0)</f>
        <v>0</v>
      </c>
      <c r="N140" s="899">
        <f ca="1">IFERROR(__xludf.DUMMYFUNCTION("IMPORTRANGE(""https://docs.google.com/spreadsheets/d/1MeEWN-I1oV_STSDYn1IFDPWt_1FKiwhDph83XaGc0o0/edit?usp=sharing"",""งบพรบ!BS49"")"),0)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IFERROR(__xludf.DUMMYFUNCTION("IMPORTRANGE(""https://docs.google.com/spreadsheets/d/1QqKyyYR6Q21VydFLVH3TRQUabQu_ym0Zz7PgGX0-kHA/edit?usp=sharing"",""แผน!U49"")"),0)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IFERROR(__xludf.DUMMYFUNCTION("IMPORTRANGE(""https://docs.google.com/spreadsheets/d/1QqKyyYR6Q21VydFLVH3TRQUabQu_ym0Zz7PgGX0-kHA/edit?usp=sharing"",""แผน!V49"")"),0)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IFERROR(__xludf.DUMMYFUNCTION("IMPORTRANGE(""https://docs.google.com/spreadsheets/d/1QqKyyYR6Q21VydFLVH3TRQUabQu_ym0Zz7PgGX0-kHA/edit?usp=sharing"",""แผน!W49"")"),0)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IFERROR(__xludf.DUMMYFUNCTION("IMPORTRANGE(""https://docs.google.com/spreadsheets/d/1MeEWN-I1oV_STSDYn1IFDPWt_1FKiwhDph83XaGc0o0/edit?usp=sharing"",""งบพรบ!BU49"")"),0)</f>
        <v>0</v>
      </c>
      <c r="M154" s="899">
        <f ca="1">IFERROR(__xludf.DUMMYFUNCTION("IMPORTRANGE(""https://docs.google.com/spreadsheets/d/1MeEWN-I1oV_STSDYn1IFDPWt_1FKiwhDph83XaGc0o0/edit?usp=sharing"",""งบพรบ!BZ49"")"),0)</f>
        <v>0</v>
      </c>
      <c r="N154" s="899">
        <f ca="1">IFERROR(__xludf.DUMMYFUNCTION("IMPORTRANGE(""https://docs.google.com/spreadsheets/d/1MeEWN-I1oV_STSDYn1IFDPWt_1FKiwhDph83XaGc0o0/edit?usp=sharing"",""งบพรบ!CB49"")"),0)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IFERROR(__xludf.DUMMYFUNCTION("IMPORTRANGE(""https://docs.google.com/spreadsheets/d/1MeEWN-I1oV_STSDYn1IFDPWt_1FKiwhDph83XaGc0o0/edit?usp=sharing"",""งบพรบ!BX49"")"),0)</f>
        <v>0</v>
      </c>
      <c r="M157" s="899">
        <f ca="1">IFERROR(__xludf.DUMMYFUNCTION("IMPORTRANGE(""https://docs.google.com/spreadsheets/d/1MeEWN-I1oV_STSDYn1IFDPWt_1FKiwhDph83XaGc0o0/edit?usp=sharing"",""งบพรบ!CA49"")"),0)</f>
        <v>0</v>
      </c>
      <c r="N157" s="899">
        <f ca="1">IFERROR(__xludf.DUMMYFUNCTION("IMPORTRANGE(""https://docs.google.com/spreadsheets/d/1MeEWN-I1oV_STSDYn1IFDPWt_1FKiwhDph83XaGc0o0/edit?usp=sharing"",""งบพรบ!CC49"")"),0)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IFERROR(__xludf.DUMMYFUNCTION("IMPORTRANGE(""https://docs.google.com/spreadsheets/d/1QqKyyYR6Q21VydFLVH3TRQUabQu_ym0Zz7PgGX0-kHA/edit?usp=sharing"",""แผน!X49"")"),0)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IFERROR(__xludf.DUMMYFUNCTION("IMPORTRANGE(""https://docs.google.com/spreadsheets/d/1MeEWN-I1oV_STSDYn1IFDPWt_1FKiwhDph83XaGc0o0/edit?usp=sharing"",""งบพรบ!CE49"")"),22055)</f>
        <v>22055</v>
      </c>
      <c r="M170" s="899">
        <f ca="1">IFERROR(__xludf.DUMMYFUNCTION("IMPORTRANGE(""https://docs.google.com/spreadsheets/d/1MeEWN-I1oV_STSDYn1IFDPWt_1FKiwhDph83XaGc0o0/edit?usp=sharing"",""งบพรบ!CJ49"")"),22055)</f>
        <v>22055</v>
      </c>
      <c r="N170" s="899">
        <f ca="1">IFERROR(__xludf.DUMMYFUNCTION("IMPORTRANGE(""https://docs.google.com/spreadsheets/d/1MeEWN-I1oV_STSDYn1IFDPWt_1FKiwhDph83XaGc0o0/edit?usp=sharing"",""งบพรบ!CL49"")"),22055)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IFERROR(__xludf.DUMMYFUNCTION("IMPORTRANGE(""https://docs.google.com/spreadsheets/d/1MeEWN-I1oV_STSDYn1IFDPWt_1FKiwhDph83XaGc0o0/edit?usp=sharing"",""งบพรบ!CH49"")"),0)</f>
        <v>0</v>
      </c>
      <c r="M173" s="899">
        <f ca="1">IFERROR(__xludf.DUMMYFUNCTION("IMPORTRANGE(""https://docs.google.com/spreadsheets/d/1MeEWN-I1oV_STSDYn1IFDPWt_1FKiwhDph83XaGc0o0/edit?usp=sharing"",""งบพรบ!CK49"")"),0)</f>
        <v>0</v>
      </c>
      <c r="N173" s="899">
        <f ca="1">IFERROR(__xludf.DUMMYFUNCTION("IMPORTRANGE(""https://docs.google.com/spreadsheets/d/1MeEWN-I1oV_STSDYn1IFDPWt_1FKiwhDph83XaGc0o0/edit?usp=sharing"",""งบพรบ!CM49"")"),0)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IFERROR(__xludf.DUMMYFUNCTION("IMPORTRANGE(""https://docs.google.com/spreadsheets/d/1QqKyyYR6Q21VydFLVH3TRQUabQu_ym0Zz7PgGX0-kHA/edit?usp=sharing"",""แผน!Y49"")"),11)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73600</v>
      </c>
      <c r="M181" s="1004">
        <f t="shared" ca="1" si="92"/>
        <v>54500</v>
      </c>
      <c r="N181" s="1004">
        <f t="shared" ca="1" si="92"/>
        <v>48390</v>
      </c>
      <c r="O181" s="1004">
        <f t="shared" ref="O181:O189" ca="1" si="93">IF(L181&gt;0,N181*100/L181,0)</f>
        <v>65.747282608695656</v>
      </c>
      <c r="P181" s="1004">
        <f t="shared" ref="P181:P189" ca="1" si="94">IF(M181&gt;0,N181*100/M181,0)</f>
        <v>88.788990825688074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73600</v>
      </c>
      <c r="M183" s="899">
        <f t="shared" ca="1" si="95"/>
        <v>54500</v>
      </c>
      <c r="N183" s="899">
        <f t="shared" ca="1" si="95"/>
        <v>48390</v>
      </c>
      <c r="O183" s="899">
        <f t="shared" ca="1" si="93"/>
        <v>65.747282608695656</v>
      </c>
      <c r="P183" s="899">
        <f t="shared" ca="1" si="94"/>
        <v>88.788990825688074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73600</v>
      </c>
      <c r="M184" s="893">
        <f t="shared" ca="1" si="96"/>
        <v>54500</v>
      </c>
      <c r="N184" s="893">
        <f t="shared" ca="1" si="96"/>
        <v>48390</v>
      </c>
      <c r="O184" s="893">
        <f t="shared" ca="1" si="93"/>
        <v>65.747282608695656</v>
      </c>
      <c r="P184" s="893">
        <f t="shared" ca="1" si="94"/>
        <v>88.788990825688074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IFERROR(__xludf.DUMMYFUNCTION("IMPORTRANGE(""https://docs.google.com/spreadsheets/d/1MeEWN-I1oV_STSDYn1IFDPWt_1FKiwhDph83XaGc0o0/edit?usp=sharing"",""งบพรบ!CO49"")"),73600)</f>
        <v>73600</v>
      </c>
      <c r="M186" s="899">
        <f ca="1">IFERROR(__xludf.DUMMYFUNCTION("IMPORTRANGE(""https://docs.google.com/spreadsheets/d/1MeEWN-I1oV_STSDYn1IFDPWt_1FKiwhDph83XaGc0o0/edit?usp=sharing"",""งบพรบ!CT49"")"),54500)</f>
        <v>54500</v>
      </c>
      <c r="N186" s="899">
        <f ca="1">IFERROR(__xludf.DUMMYFUNCTION("IMPORTRANGE(""https://docs.google.com/spreadsheets/d/1MeEWN-I1oV_STSDYn1IFDPWt_1FKiwhDph83XaGc0o0/edit?usp=sharing"",""งบพรบ!CV49"")"),48390)</f>
        <v>48390</v>
      </c>
      <c r="O186" s="899">
        <f t="shared" ca="1" si="93"/>
        <v>65.747282608695656</v>
      </c>
      <c r="P186" s="899">
        <f t="shared" ca="1" si="94"/>
        <v>88.788990825688074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IFERROR(__xludf.DUMMYFUNCTION("IMPORTRANGE(""https://docs.google.com/spreadsheets/d/1MeEWN-I1oV_STSDYn1IFDPWt_1FKiwhDph83XaGc0o0/edit?usp=sharing"",""งบพรบ!CR49"")"),0)</f>
        <v>0</v>
      </c>
      <c r="M189" s="899">
        <f ca="1">IFERROR(__xludf.DUMMYFUNCTION("IMPORTRANGE(""https://docs.google.com/spreadsheets/d/1MeEWN-I1oV_STSDYn1IFDPWt_1FKiwhDph83XaGc0o0/edit?usp=sharing"",""งบพรบ!CU49"")"),0)</f>
        <v>0</v>
      </c>
      <c r="N189" s="899">
        <f ca="1">IFERROR(__xludf.DUMMYFUNCTION("IMPORTRANGE(""https://docs.google.com/spreadsheets/d/1MeEWN-I1oV_STSDYn1IFDPWt_1FKiwhDph83XaGc0o0/edit?usp=sharing"",""งบพรบ!CW49"")"),0)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IFERROR(__xludf.DUMMYFUNCTION("IMPORTRANGE(""https://docs.google.com/spreadsheets/d/1QqKyyYR6Q21VydFLVH3TRQUabQu_ym0Zz7PgGX0-kHA/edit?usp=sharing"",""แผน!Z49"")"),6000)</f>
        <v>6000</v>
      </c>
      <c r="M191" s="1004"/>
      <c r="N191" s="1092">
        <v>3390</v>
      </c>
      <c r="O191" s="1004">
        <f ca="1">IF(L191&gt;0,N191*100/L191,0)</f>
        <v>56.5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IFERROR(__xludf.DUMMYFUNCTION("IMPORTRANGE(""https://docs.google.com/spreadsheets/d/1QqKyyYR6Q21VydFLVH3TRQUabQu_ym0Zz7PgGX0-kHA/edit?usp=sharing"",""แผน!AC49"")"),4)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69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69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2</v>
      </c>
      <c r="J197" s="1089">
        <f t="shared" si="99"/>
        <v>2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31000</v>
      </c>
      <c r="M198" s="1004"/>
      <c r="N198" s="1004">
        <f>N199+N200+N201+N202</f>
        <v>31000</v>
      </c>
      <c r="O198" s="1004">
        <f ca="1">IF(L198&gt;0,N198*100/L198,0)</f>
        <v>100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IFERROR(__xludf.DUMMYFUNCTION("IMPORTRANGE(""https://docs.google.com/spreadsheets/d/1QqKyyYR6Q21VydFLVH3TRQUabQu_ym0Zz7PgGX0-kHA/edit?usp=sharing"",""แผน!AE49"")"),2000)</f>
        <v>2000</v>
      </c>
      <c r="M199" s="893"/>
      <c r="N199" s="1096">
        <v>2000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IFERROR(__xludf.DUMMYFUNCTION("IMPORTRANGE(""https://docs.google.com/spreadsheets/d/1QqKyyYR6Q21VydFLVH3TRQUabQu_ym0Zz7PgGX0-kHA/edit?usp=sharing"",""แผน!AF49"")"),16000)</f>
        <v>16000</v>
      </c>
      <c r="M200" s="893"/>
      <c r="N200" s="1096">
        <v>16000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IFERROR(__xludf.DUMMYFUNCTION("IMPORTRANGE(""https://docs.google.com/spreadsheets/d/1QqKyyYR6Q21VydFLVH3TRQUabQu_ym0Zz7PgGX0-kHA/edit?usp=sharing"",""แผน!AG49"")"),8000)</f>
        <v>8000</v>
      </c>
      <c r="M201" s="893"/>
      <c r="N201" s="1096">
        <v>8000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IFERROR(__xludf.DUMMYFUNCTION("IMPORTRANGE(""https://docs.google.com/spreadsheets/d/1QqKyyYR6Q21VydFLVH3TRQUabQu_ym0Zz7PgGX0-kHA/edit?usp=sharing"",""แผน!AH49"")"),5000)</f>
        <v>5000</v>
      </c>
      <c r="M202" s="893"/>
      <c r="N202" s="1096">
        <v>5000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IFERROR(__xludf.DUMMYFUNCTION("IMPORTRANGE(""https://docs.google.com/spreadsheets/d/1QqKyyYR6Q21VydFLVH3TRQUabQu_ym0Zz7PgGX0-kHA/edit?usp=sharing"",""แผน!AI49"")"),2)</f>
        <v>2</v>
      </c>
      <c r="J204" s="1024">
        <v>2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2</v>
      </c>
      <c r="J206" s="1024">
        <v>2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1</v>
      </c>
      <c r="J207" s="1024">
        <v>1</v>
      </c>
      <c r="K207" s="1010">
        <f t="shared" si="100"/>
        <v>100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1</v>
      </c>
      <c r="J208" s="1089">
        <f t="shared" si="101"/>
        <v>1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14000</v>
      </c>
      <c r="M209" s="1004"/>
      <c r="N209" s="1004">
        <f>N210+N211+N212</f>
        <v>14000</v>
      </c>
      <c r="O209" s="1004">
        <f ca="1">IF(L209&gt;0,N209*100/L209,0)</f>
        <v>100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IFERROR(__xludf.DUMMYFUNCTION("IMPORTRANGE(""https://docs.google.com/spreadsheets/d/1QqKyyYR6Q21VydFLVH3TRQUabQu_ym0Zz7PgGX0-kHA/edit?usp=sharing"",""แผน!AK49"")"),1000)</f>
        <v>1000</v>
      </c>
      <c r="M210" s="893"/>
      <c r="N210" s="1096">
        <v>1000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IFERROR(__xludf.DUMMYFUNCTION("IMPORTRANGE(""https://docs.google.com/spreadsheets/d/1QqKyyYR6Q21VydFLVH3TRQUabQu_ym0Zz7PgGX0-kHA/edit?usp=sharing"",""แผน!AL49"")"),5000)</f>
        <v>5000</v>
      </c>
      <c r="M211" s="893"/>
      <c r="N211" s="1096">
        <v>5000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IFERROR(__xludf.DUMMYFUNCTION("IMPORTRANGE(""https://docs.google.com/spreadsheets/d/1QqKyyYR6Q21VydFLVH3TRQUabQu_ym0Zz7PgGX0-kHA/edit?usp=sharing"",""แผน!AM49"")"),8000)</f>
        <v>8000</v>
      </c>
      <c r="M212" s="893"/>
      <c r="N212" s="1096">
        <v>8000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IFERROR(__xludf.DUMMYFUNCTION("IMPORTRANGE(""https://docs.google.com/spreadsheets/d/1QqKyyYR6Q21VydFLVH3TRQUabQu_ym0Zz7PgGX0-kHA/edit?usp=sharing"",""แผน!AN49"")"),1)</f>
        <v>1</v>
      </c>
      <c r="J214" s="1024">
        <v>1</v>
      </c>
      <c r="K214" s="893">
        <f t="shared" ref="K214:K216" ca="1" si="102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IFERROR(__xludf.DUMMYFUNCTION("IMPORTRANGE(""https://docs.google.com/spreadsheets/d/1QqKyyYR6Q21VydFLVH3TRQUabQu_ym0Zz7PgGX0-kHA/edit?usp=sharing"",""แผน!AN49"")"),1)</f>
        <v>1</v>
      </c>
      <c r="J215" s="1024">
        <v>1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64000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22600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IFERROR(__xludf.DUMMYFUNCTION("IMPORTRANGE(""https://docs.google.com/spreadsheets/d/1QqKyyYR6Q21VydFLVH3TRQUabQu_ym0Zz7PgGX0-kHA/edit?usp=sharing"",""แผน!AP49"")"),5000)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IFERROR(__xludf.DUMMYFUNCTION("IMPORTRANGE(""https://docs.google.com/spreadsheets/d/1QqKyyYR6Q21VydFLVH3TRQUabQu_ym0Zz7PgGX0-kHA/edit?usp=sharing"",""แผน!AQ49"")"),17600)</f>
        <v>17600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IFERROR(__xludf.DUMMYFUNCTION("IMPORTRANGE(""https://docs.google.com/spreadsheets/d/1QqKyyYR6Q21VydFLVH3TRQUabQu_ym0Zz7PgGX0-kHA/edit?usp=sharing"",""แผน!AR49"")"),0)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IFERROR(__xludf.DUMMYFUNCTION("IMPORTRANGE(""https://docs.google.com/spreadsheets/d/1QqKyyYR6Q21VydFLVH3TRQUabQu_ym0Zz7PgGX0-kHA/edit?usp=sharing"",""แผน!AT49"")"),64000)</f>
        <v>64000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IFERROR(__xludf.DUMMYFUNCTION("IMPORTRANGE(""https://docs.google.com/spreadsheets/d/1QqKyyYR6Q21VydFLVH3TRQUabQu_ym0Zz7PgGX0-kHA/edit?usp=sharing"",""แผน!AT49"")"),64000)</f>
        <v>64000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IFERROR(__xludf.DUMMYFUNCTION("IMPORTRANGE(""https://docs.google.com/spreadsheets/d/1QqKyyYR6Q21VydFLVH3TRQUabQu_ym0Zz7PgGX0-kHA/edit?usp=sharing"",""แผน!AS49"")"),0)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IFERROR(__xludf.DUMMYFUNCTION("IMPORTRANGE(""https://docs.google.com/spreadsheets/d/1QqKyyYR6Q21VydFLVH3TRQUabQu_ym0Zz7PgGX0-kHA/edit?usp=sharing"",""แผน!AV49"")"),0)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IFERROR(__xludf.DUMMYFUNCTION("IMPORTRANGE(""https://docs.google.com/spreadsheets/d/1QqKyyYR6Q21VydFLVH3TRQUabQu_ym0Zz7PgGX0-kHA/edit?usp=sharing"",""แผน!AW49"")"),0)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IFERROR(__xludf.DUMMYFUNCTION("IMPORTRANGE(""https://docs.google.com/spreadsheets/d/1QqKyyYR6Q21VydFLVH3TRQUabQu_ym0Zz7PgGX0-kHA/edit?usp=sharing"",""แผน!AX49"")"),0)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IFERROR(__xludf.DUMMYFUNCTION("IMPORTRANGE(""https://docs.google.com/spreadsheets/d/1QqKyyYR6Q21VydFLVH3TRQUabQu_ym0Zz7PgGX0-kHA/edit?usp=sharing"",""แผน!AY49"")"),0)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IFERROR(__xludf.DUMMYFUNCTION("IMPORTRANGE(""https://docs.google.com/spreadsheets/d/1QqKyyYR6Q21VydFLVH3TRQUabQu_ym0Zz7PgGX0-kHA/edit?usp=sharing"",""แผน!BE49"")"),0)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IFERROR(__xludf.DUMMYFUNCTION("IMPORTRANGE(""https://docs.google.com/spreadsheets/d/1QqKyyYR6Q21VydFLVH3TRQUabQu_ym0Zz7PgGX0-kHA/edit?usp=sharing"",""แผน!AZ49"")"),0)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IFERROR(__xludf.DUMMYFUNCTION("IMPORTRANGE(""https://docs.google.com/spreadsheets/d/1QqKyyYR6Q21VydFLVH3TRQUabQu_ym0Zz7PgGX0-kHA/edit?usp=sharing"",""แผน!BA49"")"),0)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IFERROR(__xludf.DUMMYFUNCTION("IMPORTRANGE(""https://docs.google.com/spreadsheets/d/1QqKyyYR6Q21VydFLVH3TRQUabQu_ym0Zz7PgGX0-kHA/edit?usp=sharing"",""แผน!BB49"")"),0)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IFERROR(__xludf.DUMMYFUNCTION("IMPORTRANGE(""https://docs.google.com/spreadsheets/d/1QqKyyYR6Q21VydFLVH3TRQUabQu_ym0Zz7PgGX0-kHA/edit?usp=sharing"",""แผน!BC49"")"),0)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IFERROR(__xludf.DUMMYFUNCTION("IMPORTRANGE(""https://docs.google.com/spreadsheets/d/1QqKyyYR6Q21VydFLVH3TRQUabQu_ym0Zz7PgGX0-kHA/edit?usp=sharing"",""แผน!BF49"")"),0)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24</v>
      </c>
      <c r="J260" s="1073">
        <f t="shared" si="115"/>
        <v>24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28800</v>
      </c>
      <c r="M261" s="1004">
        <f t="shared" ca="1" si="116"/>
        <v>25800</v>
      </c>
      <c r="N261" s="1004">
        <f t="shared" ca="1" si="116"/>
        <v>24280</v>
      </c>
      <c r="O261" s="1004">
        <f t="shared" ref="O261:O269" ca="1" si="117">IF(L261&gt;0,N261*100/L261,0)</f>
        <v>84.305555555555557</v>
      </c>
      <c r="P261" s="1004">
        <f t="shared" ref="P261:P269" ca="1" si="118">IF(M261&gt;0,N261*100/M261,0)</f>
        <v>94.108527131782949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28800</v>
      </c>
      <c r="M263" s="899">
        <f t="shared" ca="1" si="119"/>
        <v>25800</v>
      </c>
      <c r="N263" s="899">
        <f t="shared" ca="1" si="119"/>
        <v>24280</v>
      </c>
      <c r="O263" s="899">
        <f t="shared" ca="1" si="117"/>
        <v>84.305555555555557</v>
      </c>
      <c r="P263" s="899">
        <f t="shared" ca="1" si="118"/>
        <v>94.108527131782949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28800</v>
      </c>
      <c r="M264" s="893">
        <f t="shared" ca="1" si="120"/>
        <v>25800</v>
      </c>
      <c r="N264" s="893">
        <f t="shared" ca="1" si="120"/>
        <v>24280</v>
      </c>
      <c r="O264" s="893">
        <f t="shared" ca="1" si="117"/>
        <v>84.305555555555557</v>
      </c>
      <c r="P264" s="893">
        <f t="shared" ca="1" si="118"/>
        <v>94.108527131782949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IFERROR(__xludf.DUMMYFUNCTION("IMPORTRANGE(""https://docs.google.com/spreadsheets/d/1MeEWN-I1oV_STSDYn1IFDPWt_1FKiwhDph83XaGc0o0/edit?usp=sharing"",""งบพรบ!CY49"")"),28800)</f>
        <v>28800</v>
      </c>
      <c r="M266" s="899">
        <f ca="1">IFERROR(__xludf.DUMMYFUNCTION("IMPORTRANGE(""https://docs.google.com/spreadsheets/d/1MeEWN-I1oV_STSDYn1IFDPWt_1FKiwhDph83XaGc0o0/edit?usp=sharing"",""งบพรบ!DD49"")"),25800)</f>
        <v>25800</v>
      </c>
      <c r="N266" s="899">
        <f ca="1">IFERROR(__xludf.DUMMYFUNCTION("IMPORTRANGE(""https://docs.google.com/spreadsheets/d/1MeEWN-I1oV_STSDYn1IFDPWt_1FKiwhDph83XaGc0o0/edit?usp=sharing"",""งบพรบ!DF49"")"),24280)</f>
        <v>24280</v>
      </c>
      <c r="O266" s="899">
        <f t="shared" ca="1" si="117"/>
        <v>84.305555555555557</v>
      </c>
      <c r="P266" s="899">
        <f t="shared" ca="1" si="118"/>
        <v>94.108527131782949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IFERROR(__xludf.DUMMYFUNCTION("IMPORTRANGE(""https://docs.google.com/spreadsheets/d/1MeEWN-I1oV_STSDYn1IFDPWt_1FKiwhDph83XaGc0o0/edit?usp=sharing"",""งบพรบ!DB49"")"),0)</f>
        <v>0</v>
      </c>
      <c r="M269" s="899">
        <f ca="1">IFERROR(__xludf.DUMMYFUNCTION("IMPORTRANGE(""https://docs.google.com/spreadsheets/d/1MeEWN-I1oV_STSDYn1IFDPWt_1FKiwhDph83XaGc0o0/edit?usp=sharing"",""งบพรบ!DE49"")"),0)</f>
        <v>0</v>
      </c>
      <c r="N269" s="899">
        <f ca="1">IFERROR(__xludf.DUMMYFUNCTION("IMPORTRANGE(""https://docs.google.com/spreadsheets/d/1MeEWN-I1oV_STSDYn1IFDPWt_1FKiwhDph83XaGc0o0/edit?usp=sharing"",""งบพรบ!DG49"")"),0)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IFERROR(__xludf.DUMMYFUNCTION("IMPORTRANGE(""https://docs.google.com/spreadsheets/d/1QqKyyYR6Q21VydFLVH3TRQUabQu_ym0Zz7PgGX0-kHA/edit?usp=sharing"",""แผน!EA49"")"),24)</f>
        <v>24</v>
      </c>
      <c r="J271" s="1024">
        <v>24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 hidden="1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 hidden="1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 hidden="1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 hidden="1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0</v>
      </c>
      <c r="J276" s="1173">
        <f t="shared" si="124"/>
        <v>0</v>
      </c>
      <c r="K276" s="1172">
        <f t="shared" ca="1" si="123"/>
        <v>0</v>
      </c>
      <c r="L276" s="1172"/>
      <c r="M276" s="1172"/>
      <c r="N276" s="1172"/>
      <c r="O276" s="1172"/>
      <c r="P276" s="1172"/>
    </row>
    <row r="277" spans="1:26" ht="19.5" hidden="1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0</v>
      </c>
      <c r="M277" s="1004">
        <f t="shared" ca="1" si="125"/>
        <v>0</v>
      </c>
      <c r="N277" s="1004">
        <f t="shared" ca="1" si="125"/>
        <v>0</v>
      </c>
      <c r="O277" s="1004">
        <f t="shared" ref="O277:O285" ca="1" si="126">IF(L277&gt;0,N277*100/L277,0)</f>
        <v>0</v>
      </c>
      <c r="P277" s="1004">
        <f t="shared" ref="P277:P285" ca="1" si="127">IF(M277&gt;0,N277*100/M277,0)</f>
        <v>0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0</v>
      </c>
      <c r="M279" s="899">
        <f t="shared" ca="1" si="128"/>
        <v>0</v>
      </c>
      <c r="N279" s="899">
        <f t="shared" ca="1" si="128"/>
        <v>0</v>
      </c>
      <c r="O279" s="899">
        <f t="shared" ca="1" si="126"/>
        <v>0</v>
      </c>
      <c r="P279" s="899">
        <f t="shared" ca="1" si="127"/>
        <v>0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 hidden="1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0</v>
      </c>
      <c r="M280" s="893">
        <f t="shared" ca="1" si="129"/>
        <v>0</v>
      </c>
      <c r="N280" s="893">
        <f t="shared" ca="1" si="129"/>
        <v>0</v>
      </c>
      <c r="O280" s="893">
        <f t="shared" ca="1" si="126"/>
        <v>0</v>
      </c>
      <c r="P280" s="893">
        <f t="shared" ca="1" si="127"/>
        <v>0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IFERROR(__xludf.DUMMYFUNCTION("IMPORTRANGE(""https://docs.google.com/spreadsheets/d/1MeEWN-I1oV_STSDYn1IFDPWt_1FKiwhDph83XaGc0o0/edit?usp=sharing"",""งบพรบ!DI49"")"),0)</f>
        <v>0</v>
      </c>
      <c r="M282" s="899">
        <f ca="1">IFERROR(__xludf.DUMMYFUNCTION("IMPORTRANGE(""https://docs.google.com/spreadsheets/d/1MeEWN-I1oV_STSDYn1IFDPWt_1FKiwhDph83XaGc0o0/edit?usp=sharing"",""งบพรบ!DN49"")"),0)</f>
        <v>0</v>
      </c>
      <c r="N282" s="899">
        <f ca="1">IFERROR(__xludf.DUMMYFUNCTION("IMPORTRANGE(""https://docs.google.com/spreadsheets/d/1MeEWN-I1oV_STSDYn1IFDPWt_1FKiwhDph83XaGc0o0/edit?usp=sharing"",""งบพรบ!DP49"")"),0)</f>
        <v>0</v>
      </c>
      <c r="O282" s="899">
        <f t="shared" ca="1" si="126"/>
        <v>0</v>
      </c>
      <c r="P282" s="899">
        <f t="shared" ca="1" si="127"/>
        <v>0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 hidden="1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IFERROR(__xludf.DUMMYFUNCTION("IMPORTRANGE(""https://docs.google.com/spreadsheets/d/1MeEWN-I1oV_STSDYn1IFDPWt_1FKiwhDph83XaGc0o0/edit?usp=sharing"",""งบพรบ!DL49"")"),0)</f>
        <v>0</v>
      </c>
      <c r="M285" s="899">
        <f ca="1">IFERROR(__xludf.DUMMYFUNCTION("IMPORTRANGE(""https://docs.google.com/spreadsheets/d/1MeEWN-I1oV_STSDYn1IFDPWt_1FKiwhDph83XaGc0o0/edit?usp=sharing"",""งบพรบ!DO49"")"),0)</f>
        <v>0</v>
      </c>
      <c r="N285" s="899">
        <f ca="1">IFERROR(__xludf.DUMMYFUNCTION("IMPORTRANGE(""https://docs.google.com/spreadsheets/d/1MeEWN-I1oV_STSDYn1IFDPWt_1FKiwhDph83XaGc0o0/edit?usp=sharing"",""งบพรบ!DQ49"")"),0)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 hidden="1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 hidden="1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IFERROR(__xludf.DUMMYFUNCTION("IMPORTRANGE(""https://docs.google.com/spreadsheets/d/1QqKyyYR6Q21VydFLVH3TRQUabQu_ym0Zz7PgGX0-kHA/edit?usp=sharing"",""แผน!EC49"")"),0)</f>
        <v>0</v>
      </c>
      <c r="J287" s="1024">
        <v>0</v>
      </c>
      <c r="K287" s="1010">
        <f t="shared" ref="K287:K288" ca="1" si="131">IF(I287&gt;0,J287*100/I287,0)</f>
        <v>0</v>
      </c>
      <c r="L287" s="1010"/>
      <c r="M287" s="1010"/>
      <c r="N287" s="1010"/>
      <c r="O287" s="1010"/>
      <c r="P287" s="1010"/>
    </row>
    <row r="288" spans="1:26" ht="19.5" hidden="1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IFERROR(__xludf.DUMMYFUNCTION("IMPORTRANGE(""https://docs.google.com/spreadsheets/d/1QqKyyYR6Q21VydFLVH3TRQUabQu_ym0Zz7PgGX0-kHA/edit?usp=sharing"",""แผน!EB49"")"),0)</f>
        <v>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 hidden="1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 hidden="1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IFERROR(__xludf.DUMMYFUNCTION("IMPORTRANGE(""https://docs.google.com/spreadsheets/d/1QqKyyYR6Q21VydFLVH3TRQUabQu_ym0Zz7PgGX0-kHA/edit?usp=sharing"",""แผน!EB49"")"),0)</f>
        <v>0</v>
      </c>
      <c r="J290" s="1024">
        <v>0</v>
      </c>
      <c r="K290" s="1010">
        <f t="shared" ref="K290:K291" ca="1" si="132">IF(I290&gt;0,J290*100/I290,0)</f>
        <v>0</v>
      </c>
      <c r="L290" s="1010"/>
      <c r="M290" s="1010"/>
      <c r="N290" s="1010"/>
      <c r="O290" s="1010"/>
      <c r="P290" s="1010"/>
    </row>
    <row r="291" spans="1:26" ht="19.5" hidden="1">
      <c r="A291" s="1014"/>
      <c r="B291" s="1015"/>
      <c r="C291" s="1015"/>
      <c r="D291" s="1022"/>
      <c r="E291" s="1026" t="s">
        <v>345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IFERROR(__xludf.DUMMYFUNCTION("IMPORTRANGE(""https://docs.google.com/spreadsheets/d/1QqKyyYR6Q21VydFLVH3TRQUabQu_ym0Zz7PgGX0-kHA/edit?usp=sharing"",""แผน!EB49"")"),0)</f>
        <v>0</v>
      </c>
      <c r="J291" s="1024">
        <v>0</v>
      </c>
      <c r="K291" s="1010">
        <f t="shared" ca="1" si="132"/>
        <v>0</v>
      </c>
      <c r="L291" s="1010"/>
      <c r="M291" s="1010"/>
      <c r="N291" s="1010"/>
      <c r="O291" s="1010"/>
      <c r="P291" s="1010"/>
    </row>
    <row r="292" spans="1:26" ht="19.5" hidden="1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 hidden="1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IFERROR(__xludf.DUMMYFUNCTION("IMPORTRANGE(""https://docs.google.com/spreadsheets/d/1QqKyyYR6Q21VydFLVH3TRQUabQu_ym0Zz7PgGX0-kHA/edit?usp=sharing"",""แผน!EB49"")"),0)</f>
        <v>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 hidden="1">
      <c r="A294" s="1144"/>
      <c r="B294" s="1145"/>
      <c r="C294" s="1145"/>
      <c r="D294" s="1147"/>
      <c r="E294" s="1181" t="s">
        <v>345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IFERROR(__xludf.DUMMYFUNCTION("IMPORTRANGE(""https://docs.google.com/spreadsheets/d/1QqKyyYR6Q21VydFLVH3TRQUabQu_ym0Zz7PgGX0-kHA/edit?usp=sharing"",""แผน!EB49"")"),0)</f>
        <v>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 hidden="1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 hidden="1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0</v>
      </c>
      <c r="J297" s="1202">
        <f t="shared" si="134"/>
        <v>0</v>
      </c>
      <c r="K297" s="1203">
        <f ca="1">IF(I297&gt;0,J297*100/I297,0)</f>
        <v>0</v>
      </c>
      <c r="L297" s="1204"/>
      <c r="M297" s="1204"/>
      <c r="N297" s="1204"/>
      <c r="O297" s="1204"/>
      <c r="P297" s="1204"/>
    </row>
    <row r="298" spans="1:26" ht="19.5" hidden="1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0</v>
      </c>
      <c r="M298" s="1004">
        <f t="shared" ca="1" si="135"/>
        <v>0</v>
      </c>
      <c r="N298" s="1004">
        <f t="shared" ca="1" si="135"/>
        <v>0</v>
      </c>
      <c r="O298" s="1004">
        <f t="shared" ref="O298:O306" ca="1" si="136">IF(L298&gt;0,N298*100/L298,0)</f>
        <v>0</v>
      </c>
      <c r="P298" s="1004">
        <f t="shared" ref="P298:P306" ca="1" si="137">IF(M298&gt;0,N298*100/M298,0)</f>
        <v>0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0</v>
      </c>
      <c r="M300" s="899">
        <f t="shared" ca="1" si="138"/>
        <v>0</v>
      </c>
      <c r="N300" s="899">
        <f t="shared" ca="1" si="138"/>
        <v>0</v>
      </c>
      <c r="O300" s="899">
        <f t="shared" ca="1" si="136"/>
        <v>0</v>
      </c>
      <c r="P300" s="899">
        <f t="shared" ca="1" si="137"/>
        <v>0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 hidden="1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0</v>
      </c>
      <c r="M301" s="893">
        <f t="shared" ca="1" si="139"/>
        <v>0</v>
      </c>
      <c r="N301" s="893">
        <f t="shared" ca="1" si="139"/>
        <v>0</v>
      </c>
      <c r="O301" s="893">
        <f t="shared" ca="1" si="136"/>
        <v>0</v>
      </c>
      <c r="P301" s="893">
        <f t="shared" ca="1" si="137"/>
        <v>0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IFERROR(__xludf.DUMMYFUNCTION("IMPORTRANGE(""https://docs.google.com/spreadsheets/d/1MeEWN-I1oV_STSDYn1IFDPWt_1FKiwhDph83XaGc0o0/edit?usp=sharing"",""งบพรบ!DS49"")"),0)</f>
        <v>0</v>
      </c>
      <c r="M303" s="899">
        <f ca="1">IFERROR(__xludf.DUMMYFUNCTION("IMPORTRANGE(""https://docs.google.com/spreadsheets/d/1MeEWN-I1oV_STSDYn1IFDPWt_1FKiwhDph83XaGc0o0/edit?usp=sharing"",""งบพรบ!DX49"")"),0)</f>
        <v>0</v>
      </c>
      <c r="N303" s="899">
        <f ca="1">IFERROR(__xludf.DUMMYFUNCTION("IMPORTRANGE(""https://docs.google.com/spreadsheets/d/1MeEWN-I1oV_STSDYn1IFDPWt_1FKiwhDph83XaGc0o0/edit?usp=sharing"",""งบพรบ!DZ49"")"),0)</f>
        <v>0</v>
      </c>
      <c r="O303" s="899">
        <f t="shared" ca="1" si="136"/>
        <v>0</v>
      </c>
      <c r="P303" s="899">
        <f t="shared" ca="1" si="137"/>
        <v>0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 hidden="1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IFERROR(__xludf.DUMMYFUNCTION("IMPORTRANGE(""https://docs.google.com/spreadsheets/d/1MeEWN-I1oV_STSDYn1IFDPWt_1FKiwhDph83XaGc0o0/edit?usp=sharing"",""งบพรบ!DV49"")"),0)</f>
        <v>0</v>
      </c>
      <c r="M306" s="899">
        <f ca="1">IFERROR(__xludf.DUMMYFUNCTION("IMPORTRANGE(""https://docs.google.com/spreadsheets/d/1MeEWN-I1oV_STSDYn1IFDPWt_1FKiwhDph83XaGc0o0/edit?usp=sharing"",""งบพรบ!DY49"")"),0)</f>
        <v>0</v>
      </c>
      <c r="N306" s="899">
        <f ca="1">IFERROR(__xludf.DUMMYFUNCTION("IMPORTRANGE(""https://docs.google.com/spreadsheets/d/1MeEWN-I1oV_STSDYn1IFDPWt_1FKiwhDph83XaGc0o0/edit?usp=sharing"",""งบพรบ!EA49"")"),0)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 hidden="1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 hidden="1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0</v>
      </c>
      <c r="K308" s="893"/>
      <c r="L308" s="893"/>
      <c r="M308" s="893"/>
      <c r="N308" s="893"/>
      <c r="O308" s="893"/>
      <c r="P308" s="893"/>
    </row>
    <row r="309" spans="1:26" ht="18.75" hidden="1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IFERROR(__xludf.DUMMYFUNCTION("IMPORTRANGE(""https://docs.google.com/spreadsheets/d/1QqKyyYR6Q21VydFLVH3TRQUabQu_ym0Zz7PgGX0-kHA/edit?usp=sharing"",""แผน!ED49"")"),0)</f>
        <v>0</v>
      </c>
      <c r="J309" s="1024">
        <v>0</v>
      </c>
      <c r="K309" s="893">
        <f t="shared" ref="K309:K312" ca="1" si="141">IF(I309&gt;0,J309*100/I309,0)</f>
        <v>0</v>
      </c>
      <c r="L309" s="893"/>
      <c r="M309" s="893"/>
      <c r="N309" s="893"/>
      <c r="O309" s="893"/>
      <c r="P309" s="893"/>
    </row>
    <row r="310" spans="1:26" ht="18.75" hidden="1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IFERROR(__xludf.DUMMYFUNCTION("IMPORTRANGE(""https://docs.google.com/spreadsheets/d/1QqKyyYR6Q21VydFLVH3TRQUabQu_ym0Zz7PgGX0-kHA/edit?usp=sharing"",""แผน!ED49"")"),0)</f>
        <v>0</v>
      </c>
      <c r="J310" s="1024">
        <v>0</v>
      </c>
      <c r="K310" s="893">
        <f t="shared" ca="1" si="141"/>
        <v>0</v>
      </c>
      <c r="L310" s="893"/>
      <c r="M310" s="893"/>
      <c r="N310" s="893"/>
      <c r="O310" s="893"/>
      <c r="P310" s="893"/>
    </row>
    <row r="311" spans="1:26" ht="18.75" hidden="1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IFERROR(__xludf.DUMMYFUNCTION("IMPORTRANGE(""https://docs.google.com/spreadsheets/d/1QqKyyYR6Q21VydFLVH3TRQUabQu_ym0Zz7PgGX0-kHA/edit?usp=sharing"",""แผน!ED49"")"),0)</f>
        <v>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 hidden="1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IFERROR(__xludf.DUMMYFUNCTION("IMPORTRANGE(""https://docs.google.com/spreadsheets/d/1QqKyyYR6Q21VydFLVH3TRQUabQu_ym0Zz7PgGX0-kHA/edit?usp=sharing"",""แผน!EE49"")"),0)</f>
        <v>0</v>
      </c>
      <c r="J312" s="1024">
        <v>0</v>
      </c>
      <c r="K312" s="893">
        <f t="shared" ca="1" si="141"/>
        <v>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IFERROR(__xludf.DUMMYFUNCTION("IMPORTRANGE(""https://docs.google.com/spreadsheets/d/1MeEWN-I1oV_STSDYn1IFDPWt_1FKiwhDph83XaGc0o0/edit?usp=sharing"",""งบพรบ!EC49"")"),0)</f>
        <v>0</v>
      </c>
      <c r="M320" s="899">
        <f ca="1">IFERROR(__xludf.DUMMYFUNCTION("IMPORTRANGE(""https://docs.google.com/spreadsheets/d/1MeEWN-I1oV_STSDYn1IFDPWt_1FKiwhDph83XaGc0o0/edit?usp=sharing"",""งบพรบ!EH49"")"),0)</f>
        <v>0</v>
      </c>
      <c r="N320" s="899">
        <f ca="1">IFERROR(__xludf.DUMMYFUNCTION("IMPORTRANGE(""https://docs.google.com/spreadsheets/d/1MeEWN-I1oV_STSDYn1IFDPWt_1FKiwhDph83XaGc0o0/edit?usp=sharing"",""งบพรบ!EJ49"")"),0)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IFERROR(__xludf.DUMMYFUNCTION("IMPORTRANGE(""https://docs.google.com/spreadsheets/d/1MeEWN-I1oV_STSDYn1IFDPWt_1FKiwhDph83XaGc0o0/edit?usp=sharing"",""งบพรบ!EF49"")"),0)</f>
        <v>0</v>
      </c>
      <c r="M323" s="899">
        <f ca="1">IFERROR(__xludf.DUMMYFUNCTION("IMPORTRANGE(""https://docs.google.com/spreadsheets/d/1MeEWN-I1oV_STSDYn1IFDPWt_1FKiwhDph83XaGc0o0/edit?usp=sharing"",""งบพรบ!EI49"")"),0)</f>
        <v>0</v>
      </c>
      <c r="N323" s="899">
        <f ca="1">IFERROR(__xludf.DUMMYFUNCTION("IMPORTRANGE(""https://docs.google.com/spreadsheets/d/1MeEWN-I1oV_STSDYn1IFDPWt_1FKiwhDph83XaGc0o0/edit?usp=sharing"",""งบพรบ!EK49"")"),0)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IFERROR(__xludf.DUMMYFUNCTION("IMPORTRANGE(""https://docs.google.com/spreadsheets/d/1QqKyyYR6Q21VydFLVH3TRQUabQu_ym0Zz7PgGX0-kHA/edit?usp=sharing"",""แผน!EF49"")"),0)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IFERROR(__xludf.DUMMYFUNCTION("IMPORTRANGE(""https://docs.google.com/spreadsheets/d/1QqKyyYR6Q21VydFLVH3TRQUabQu_ym0Zz7PgGX0-kHA/edit?usp=sharing"",""แผน!EG49"")"),1900)</f>
        <v>1900</v>
      </c>
      <c r="J327" s="1202">
        <f ca="1">J338+J341+J342+J343</f>
        <v>1597</v>
      </c>
      <c r="K327" s="1203">
        <f ca="1">IF(I327&gt;0,J327*100/I327,0)</f>
        <v>84.05263157894737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166000</v>
      </c>
      <c r="M328" s="1004">
        <f t="shared" ca="1" si="149"/>
        <v>127000</v>
      </c>
      <c r="N328" s="1004">
        <f t="shared" ca="1" si="149"/>
        <v>65360</v>
      </c>
      <c r="O328" s="1004">
        <f t="shared" ref="O328:O336" ca="1" si="150">IF(L328&gt;0,N328*100/L328,0)</f>
        <v>39.373493975903614</v>
      </c>
      <c r="P328" s="1004">
        <f t="shared" ref="P328:P336" ca="1" si="151">IF(M328&gt;0,N328*100/M328,0)</f>
        <v>51.464566929133859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166000</v>
      </c>
      <c r="M330" s="899">
        <f t="shared" ca="1" si="152"/>
        <v>127000</v>
      </c>
      <c r="N330" s="899">
        <f t="shared" ca="1" si="152"/>
        <v>65360</v>
      </c>
      <c r="O330" s="899">
        <f t="shared" ca="1" si="150"/>
        <v>39.373493975903614</v>
      </c>
      <c r="P330" s="899">
        <f t="shared" ca="1" si="151"/>
        <v>51.464566929133859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166000</v>
      </c>
      <c r="M331" s="893">
        <f t="shared" ca="1" si="153"/>
        <v>127000</v>
      </c>
      <c r="N331" s="893">
        <f t="shared" ca="1" si="153"/>
        <v>65360</v>
      </c>
      <c r="O331" s="893">
        <f t="shared" ca="1" si="150"/>
        <v>39.373493975903614</v>
      </c>
      <c r="P331" s="893">
        <f t="shared" ca="1" si="151"/>
        <v>51.464566929133859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IFERROR(__xludf.DUMMYFUNCTION("IMPORTRANGE(""https://docs.google.com/spreadsheets/d/1MeEWN-I1oV_STSDYn1IFDPWt_1FKiwhDph83XaGc0o0/edit?usp=sharing"",""งบพรบ!EM49"")"),166000)</f>
        <v>166000</v>
      </c>
      <c r="M333" s="899">
        <f ca="1">IFERROR(__xludf.DUMMYFUNCTION("IMPORTRANGE(""https://docs.google.com/spreadsheets/d/1MeEWN-I1oV_STSDYn1IFDPWt_1FKiwhDph83XaGc0o0/edit?usp=sharing"",""งบพรบ!ER49"")"),127000)</f>
        <v>127000</v>
      </c>
      <c r="N333" s="899">
        <f ca="1">IFERROR(__xludf.DUMMYFUNCTION("IMPORTRANGE(""https://docs.google.com/spreadsheets/d/1MeEWN-I1oV_STSDYn1IFDPWt_1FKiwhDph83XaGc0o0/edit?usp=sharing"",""งบพรบ!ET49"")"),65360)</f>
        <v>65360</v>
      </c>
      <c r="O333" s="899">
        <f t="shared" ca="1" si="150"/>
        <v>39.373493975903614</v>
      </c>
      <c r="P333" s="899">
        <f t="shared" ca="1" si="151"/>
        <v>51.464566929133859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IFERROR(__xludf.DUMMYFUNCTION("IMPORTRANGE(""https://docs.google.com/spreadsheets/d/1MeEWN-I1oV_STSDYn1IFDPWt_1FKiwhDph83XaGc0o0/edit?usp=sharing"",""งบพรบ!EP49"")"),0)</f>
        <v>0</v>
      </c>
      <c r="M336" s="899">
        <f ca="1">IFERROR(__xludf.DUMMYFUNCTION("IMPORTRANGE(""https://docs.google.com/spreadsheets/d/1MeEWN-I1oV_STSDYn1IFDPWt_1FKiwhDph83XaGc0o0/edit?usp=sharing"",""งบพรบ!ES49"")"),0)</f>
        <v>0</v>
      </c>
      <c r="N336" s="899">
        <f ca="1">IFERROR(__xludf.DUMMYFUNCTION("IMPORTRANGE(""https://docs.google.com/spreadsheets/d/1MeEWN-I1oV_STSDYn1IFDPWt_1FKiwhDph83XaGc0o0/edit?usp=sharing"",""งบพรบ!EU49"")"),0)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IFERROR(__xludf.DUMMYFUNCTION("IMPORTRANGE(""https://docs.google.com/spreadsheets/d/1QqKyyYR6Q21VydFLVH3TRQUabQu_ym0Zz7PgGX0-kHA/edit?usp=sharing"",""แผน!EG49"")"),1900)</f>
        <v>1900</v>
      </c>
      <c r="J338" s="892">
        <f ca="1">IFERROR(__xludf.DUMMYFUNCTION("IMPORTRANGE(""https://docs.google.com/spreadsheets/d/1kVcqe37tkHyjCSG3S0O1AXqVkqjo8mSIZil3BcpIysc/edit?usp=sharing"",""ศูนย์!D49"")"),1353)</f>
        <v>1353</v>
      </c>
      <c r="K338" s="893">
        <f ca="1">IF(I338&gt;0,J338*100/I338,0)</f>
        <v>71.21052631578948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IFERROR(__xludf.DUMMYFUNCTION("IMPORTRANGE(""https://docs.google.com/spreadsheets/d/1QqKyyYR6Q21VydFLVH3TRQUabQu_ym0Zz7PgGX0-kHA/edit?usp=sharing"",""แผน!EH49"")"),4)</f>
        <v>4</v>
      </c>
      <c r="J340" s="892">
        <f ca="1">IFERROR(__xludf.DUMMYFUNCTION("IMPORTRANGE(""https://docs.google.com/spreadsheets/d/1kVcqe37tkHyjCSG3S0O1AXqVkqjo8mSIZil3BcpIysc/edit?usp=sharing"",""ศูนย์!E49"")"),2)</f>
        <v>2</v>
      </c>
      <c r="K340" s="893">
        <f ca="1">IF(I340&gt;0,J340*100/I340,0)</f>
        <v>50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IFERROR(__xludf.DUMMYFUNCTION("IMPORTRANGE(""https://docs.google.com/spreadsheets/d/1kVcqe37tkHyjCSG3S0O1AXqVkqjo8mSIZil3BcpIysc/edit?usp=sharing"",""ศูนย์!F49"")"),193)</f>
        <v>193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IFERROR(__xludf.DUMMYFUNCTION("IMPORTRANGE(""https://docs.google.com/spreadsheets/d/1kVcqe37tkHyjCSG3S0O1AXqVkqjo8mSIZil3BcpIysc/edit?usp=sharing"",""ศูนย์!G49"")"),0)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IFERROR(__xludf.DUMMYFUNCTION("IMPORTRANGE(""https://docs.google.com/spreadsheets/d/1kVcqe37tkHyjCSG3S0O1AXqVkqjo8mSIZil3BcpIysc/edit?usp=sharing"",""ศูนย์!H49"")"),51)</f>
        <v>51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825530</v>
      </c>
      <c r="M345" s="1004">
        <f t="shared" ca="1" si="155"/>
        <v>664610</v>
      </c>
      <c r="N345" s="1004">
        <f t="shared" ca="1" si="155"/>
        <v>482575</v>
      </c>
      <c r="O345" s="1004">
        <f t="shared" ref="O345:O353" ca="1" si="156">IF(L345&gt;0,N345*100/L345,0)</f>
        <v>58.456385594708856</v>
      </c>
      <c r="P345" s="1004">
        <f t="shared" ref="P345:P353" ca="1" si="157">IF(M345&gt;0,N345*100/M345,0)</f>
        <v>72.610252629361582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825530</v>
      </c>
      <c r="M347" s="899">
        <f t="shared" ca="1" si="158"/>
        <v>664610</v>
      </c>
      <c r="N347" s="899">
        <f t="shared" ca="1" si="158"/>
        <v>482575</v>
      </c>
      <c r="O347" s="899">
        <f t="shared" ca="1" si="156"/>
        <v>58.456385594708856</v>
      </c>
      <c r="P347" s="899">
        <f t="shared" ca="1" si="157"/>
        <v>72.610252629361582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730130</v>
      </c>
      <c r="M348" s="893">
        <f t="shared" ca="1" si="159"/>
        <v>569210</v>
      </c>
      <c r="N348" s="893">
        <f t="shared" ca="1" si="159"/>
        <v>387175</v>
      </c>
      <c r="O348" s="893">
        <f t="shared" ca="1" si="156"/>
        <v>53.028227849834963</v>
      </c>
      <c r="P348" s="893">
        <f t="shared" ca="1" si="157"/>
        <v>68.019711530015286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IFERROR(__xludf.DUMMYFUNCTION("IMPORTRANGE(""https://docs.google.com/spreadsheets/d/1MeEWN-I1oV_STSDYn1IFDPWt_1FKiwhDph83XaGc0o0/edit?usp=sharing"",""งบพรบ!EW49"")"),730130)</f>
        <v>730130</v>
      </c>
      <c r="M350" s="899">
        <f ca="1">IFERROR(__xludf.DUMMYFUNCTION("IMPORTRANGE(""https://docs.google.com/spreadsheets/d/1MeEWN-I1oV_STSDYn1IFDPWt_1FKiwhDph83XaGc0o0/edit?usp=sharing"",""งบพรบ!FB49"")"),569210)</f>
        <v>569210</v>
      </c>
      <c r="N350" s="899">
        <f ca="1">IFERROR(__xludf.DUMMYFUNCTION("IMPORTRANGE(""https://docs.google.com/spreadsheets/d/1MeEWN-I1oV_STSDYn1IFDPWt_1FKiwhDph83XaGc0o0/edit?usp=sharing"",""งบพรบ!FD49"")"),387175)</f>
        <v>387175</v>
      </c>
      <c r="O350" s="899">
        <f t="shared" ca="1" si="156"/>
        <v>53.028227849834963</v>
      </c>
      <c r="P350" s="899">
        <f t="shared" ca="1" si="157"/>
        <v>68.019711530015286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95400</v>
      </c>
      <c r="M351" s="893">
        <f t="shared" ca="1" si="160"/>
        <v>95400</v>
      </c>
      <c r="N351" s="893">
        <f t="shared" ca="1" si="160"/>
        <v>95400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IFERROR(__xludf.DUMMYFUNCTION("IMPORTRANGE(""https://docs.google.com/spreadsheets/d/1MeEWN-I1oV_STSDYn1IFDPWt_1FKiwhDph83XaGc0o0/edit?usp=sharing"",""งบพรบ!EZ49"")"),95400)</f>
        <v>95400</v>
      </c>
      <c r="M353" s="899">
        <f ca="1">IFERROR(__xludf.DUMMYFUNCTION("IMPORTRANGE(""https://docs.google.com/spreadsheets/d/1MeEWN-I1oV_STSDYn1IFDPWt_1FKiwhDph83XaGc0o0/edit?usp=sharing"",""งบพรบ!FC49"")"),95400)</f>
        <v>95400</v>
      </c>
      <c r="N353" s="899">
        <f ca="1">IFERROR(__xludf.DUMMYFUNCTION("IMPORTRANGE(""https://docs.google.com/spreadsheets/d/1MeEWN-I1oV_STSDYn1IFDPWt_1FKiwhDph83XaGc0o0/edit?usp=sharing"",""งบพรบ!FE49"")"),95400)</f>
        <v>95400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IFERROR(__xludf.DUMMYFUNCTION("IMPORTRANGE(""https://docs.google.com/spreadsheets/d/1QqKyyYR6Q21VydFLVH3TRQUabQu_ym0Zz7PgGX0-kHA/edit?usp=sharing"",""แผน!EP49"")"),210)</f>
        <v>210</v>
      </c>
      <c r="J355" s="1218">
        <f ca="1">J362</f>
        <v>112</v>
      </c>
      <c r="K355" s="1219">
        <f ca="1">IF(I355&gt;0,J355*100/I355,0)</f>
        <v>53.333333333333336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IFERROR(__xludf.DUMMYFUNCTION("IMPORTRANGE(""https://docs.google.com/spreadsheets/d/1XWAQStnk-4SwqDmLtmXYiTMKHgktTP8We1SCoS47DrQ/edit?usp=sharing"",""จัดที่ดิน!W49"")"),163)</f>
        <v>163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IFERROR(__xludf.DUMMYFUNCTION("IMPORTRANGE(""https://docs.google.com/spreadsheets/d/1QqKyyYR6Q21VydFLVH3TRQUabQu_ym0Zz7PgGX0-kHA/edit?usp=sharing"",""แผน!EO49"")"),2000)</f>
        <v>2000</v>
      </c>
      <c r="J359" s="892">
        <f ca="1">IFERROR(__xludf.DUMMYFUNCTION("IMPORTRANGE(""https://docs.google.com/spreadsheets/d/1XWAQStnk-4SwqDmLtmXYiTMKHgktTP8We1SCoS47DrQ/edit?usp=sharing"",""จัดที่ดิน!X49"")"),975.439999999999)</f>
        <v>975.43999999999903</v>
      </c>
      <c r="K359" s="893">
        <f t="shared" ca="1" si="161"/>
        <v>48.771999999999949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IFERROR(__xludf.DUMMYFUNCTION("IMPORTRANGE(""https://docs.google.com/spreadsheets/d/1QqKyyYR6Q21VydFLVH3TRQUabQu_ym0Zz7PgGX0-kHA/edit?usp=sharing"",""แผน!EP49"")"),210)</f>
        <v>210</v>
      </c>
      <c r="J360" s="892">
        <f ca="1">IFERROR(__xludf.DUMMYFUNCTION("IMPORTRANGE(""https://docs.google.com/spreadsheets/d/1XWAQStnk-4SwqDmLtmXYiTMKHgktTP8We1SCoS47DrQ/edit?usp=sharing"",""จัดที่ดิน!Y49"")"),139)</f>
        <v>139</v>
      </c>
      <c r="K360" s="893">
        <f t="shared" ca="1" si="161"/>
        <v>66.19047619047619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IFERROR(__xludf.DUMMYFUNCTION("IMPORTRANGE(""https://docs.google.com/spreadsheets/d/1XWAQStnk-4SwqDmLtmXYiTMKHgktTP8We1SCoS47DrQ/edit?usp=sharing"",""จัดที่ดิน!Z49"")"),839.369999999999)</f>
        <v>839.36999999999898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IFERROR(__xludf.DUMMYFUNCTION("IMPORTRANGE(""https://docs.google.com/spreadsheets/d/1QqKyyYR6Q21VydFLVH3TRQUabQu_ym0Zz7PgGX0-kHA/edit?usp=sharing"",""แผน!EP49"")"),210)</f>
        <v>210</v>
      </c>
      <c r="J362" s="892">
        <f ca="1">IFERROR(__xludf.DUMMYFUNCTION("IMPORTRANGE(""https://docs.google.com/spreadsheets/d/1XWAQStnk-4SwqDmLtmXYiTMKHgktTP8We1SCoS47DrQ/edit?usp=sharing"",""จัดที่ดิน!AA49"")"),112)</f>
        <v>112</v>
      </c>
      <c r="K362" s="893">
        <f t="shared" ca="1" si="161"/>
        <v>53.333333333333336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IFERROR(__xludf.DUMMYFUNCTION("IMPORTRANGE(""https://docs.google.com/spreadsheets/d/1XWAQStnk-4SwqDmLtmXYiTMKHgktTP8We1SCoS47DrQ/edit?usp=sharing"",""จัดที่ดิน!AB49"")"),604.77)</f>
        <v>604.77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610</v>
      </c>
      <c r="J364" s="1231">
        <f t="shared" ca="1" si="162"/>
        <v>375</v>
      </c>
      <c r="K364" s="1232">
        <f t="shared" ca="1" si="161"/>
        <v>61.475409836065573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IFERROR(__xludf.DUMMYFUNCTION("IMPORTRANGE(""https://docs.google.com/spreadsheets/d/1QqKyyYR6Q21VydFLVH3TRQUabQu_ym0Zz7PgGX0-kHA/edit?usp=sharing"",""แผน!EJ49"")"),60)</f>
        <v>60</v>
      </c>
      <c r="J365" s="1239">
        <f ca="1">J372</f>
        <v>68</v>
      </c>
      <c r="K365" s="1240">
        <f t="shared" ca="1" si="161"/>
        <v>113.33333333333333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IFERROR(__xludf.DUMMYFUNCTION("IMPORTRANGE(""https://docs.google.com/spreadsheets/d/1XWAQStnk-4SwqDmLtmXYiTMKHgktTP8We1SCoS47DrQ/edit?usp=sharing"",""จัดที่ดิน!E49"")"),89)</f>
        <v>89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IFERROR(__xludf.DUMMYFUNCTION("IMPORTRANGE(""https://docs.google.com/spreadsheets/d/1QqKyyYR6Q21VydFLVH3TRQUabQu_ym0Zz7PgGX0-kHA/edit?usp=sharing"",""แผน!EI49"")"),500)</f>
        <v>500</v>
      </c>
      <c r="J369" s="892">
        <f ca="1">IFERROR(__xludf.DUMMYFUNCTION("IMPORTRANGE(""https://docs.google.com/spreadsheets/d/1XWAQStnk-4SwqDmLtmXYiTMKHgktTP8We1SCoS47DrQ/edit?usp=sharing"",""จัดที่ดิน!F49"")"),442.15)</f>
        <v>442.15</v>
      </c>
      <c r="K369" s="893">
        <f t="shared" ca="1" si="163"/>
        <v>88.43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IFERROR(__xludf.DUMMYFUNCTION("IMPORTRANGE(""https://docs.google.com/spreadsheets/d/1QqKyyYR6Q21VydFLVH3TRQUabQu_ym0Zz7PgGX0-kHA/edit?usp=sharing"",""แผน!EJ49"")"),60)</f>
        <v>60</v>
      </c>
      <c r="J370" s="892">
        <f ca="1">IFERROR(__xludf.DUMMYFUNCTION("IMPORTRANGE(""https://docs.google.com/spreadsheets/d/1XWAQStnk-4SwqDmLtmXYiTMKHgktTP8We1SCoS47DrQ/edit?usp=sharing"",""จัดที่ดิน!G49"")"),65)</f>
        <v>65</v>
      </c>
      <c r="K370" s="893">
        <f t="shared" ca="1" si="163"/>
        <v>108.33333333333333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IFERROR(__xludf.DUMMYFUNCTION("IMPORTRANGE(""https://docs.google.com/spreadsheets/d/1XWAQStnk-4SwqDmLtmXYiTMKHgktTP8We1SCoS47DrQ/edit?usp=sharing"",""จัดที่ดิน!H49"")"),306.08)</f>
        <v>306.08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IFERROR(__xludf.DUMMYFUNCTION("IMPORTRANGE(""https://docs.google.com/spreadsheets/d/1QqKyyYR6Q21VydFLVH3TRQUabQu_ym0Zz7PgGX0-kHA/edit?usp=sharing"",""แผน!EJ49"")"),60)</f>
        <v>60</v>
      </c>
      <c r="J372" s="892">
        <f ca="1">IFERROR(__xludf.DUMMYFUNCTION("IMPORTRANGE(""https://docs.google.com/spreadsheets/d/1XWAQStnk-4SwqDmLtmXYiTMKHgktTP8We1SCoS47DrQ/edit?usp=sharing"",""จัดที่ดิน!I49"")"),68)</f>
        <v>68</v>
      </c>
      <c r="K372" s="893">
        <f t="shared" ca="1" si="163"/>
        <v>113.33333333333333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IFERROR(__xludf.DUMMYFUNCTION("IMPORTRANGE(""https://docs.google.com/spreadsheets/d/1XWAQStnk-4SwqDmLtmXYiTMKHgktTP8We1SCoS47DrQ/edit?usp=sharing"",""จัดที่ดิน!J49"")"),362.12)</f>
        <v>362.12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IFERROR(__xludf.DUMMYFUNCTION("IMPORTRANGE(""https://docs.google.com/spreadsheets/d/1QqKyyYR6Q21VydFLVH3TRQUabQu_ym0Zz7PgGX0-kHA/edit?usp=sharing"",""แผน!EU49"")"),550)</f>
        <v>550</v>
      </c>
      <c r="J374" s="1239">
        <f ca="1">J381</f>
        <v>307</v>
      </c>
      <c r="K374" s="1240">
        <f t="shared" ca="1" si="163"/>
        <v>55.81818181818182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IFERROR(__xludf.DUMMYFUNCTION("IMPORTRANGE(""https://docs.google.com/spreadsheets/d/1XWAQStnk-4SwqDmLtmXYiTMKHgktTP8We1SCoS47DrQ/edit?usp=sharing"",""จัดที่ดิน!AH49"")"),74)</f>
        <v>74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IFERROR(__xludf.DUMMYFUNCTION("IMPORTRANGE(""https://docs.google.com/spreadsheets/d/1QqKyyYR6Q21VydFLVH3TRQUabQu_ym0Zz7PgGX0-kHA/edit?usp=sharing"",""แผน!ET49"")"),1500)</f>
        <v>1500</v>
      </c>
      <c r="J378" s="892">
        <f ca="1">IFERROR(__xludf.DUMMYFUNCTION("IMPORTRANGE(""https://docs.google.com/spreadsheets/d/1XWAQStnk-4SwqDmLtmXYiTMKHgktTP8We1SCoS47DrQ/edit?usp=sharing"",""จัดที่ดิน!AI49"")"),533.29)</f>
        <v>533.29</v>
      </c>
      <c r="K378" s="893">
        <f t="shared" ca="1" si="164"/>
        <v>35.552666666666667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IFERROR(__xludf.DUMMYFUNCTION("IMPORTRANGE(""https://docs.google.com/spreadsheets/d/1QqKyyYR6Q21VydFLVH3TRQUabQu_ym0Zz7PgGX0-kHA/edit?usp=sharing"",""แผน!EU49"")"),550)</f>
        <v>550</v>
      </c>
      <c r="J379" s="892">
        <f ca="1">IFERROR(__xludf.DUMMYFUNCTION("IMPORTRANGE(""https://docs.google.com/spreadsheets/d/1XWAQStnk-4SwqDmLtmXYiTMKHgktTP8We1SCoS47DrQ/edit?usp=sharing"",""จัดที่ดิน!AJ49"")"),336)</f>
        <v>336</v>
      </c>
      <c r="K379" s="893">
        <f t="shared" ca="1" si="164"/>
        <v>61.090909090909093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IFERROR(__xludf.DUMMYFUNCTION("IMPORTRANGE(""https://docs.google.com/spreadsheets/d/1XWAQStnk-4SwqDmLtmXYiTMKHgktTP8We1SCoS47DrQ/edit?usp=sharing"",""จัดที่ดิน!AK49"")"),2800.63)</f>
        <v>2800.63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IFERROR(__xludf.DUMMYFUNCTION("IMPORTRANGE(""https://docs.google.com/spreadsheets/d/1QqKyyYR6Q21VydFLVH3TRQUabQu_ym0Zz7PgGX0-kHA/edit?usp=sharing"",""แผน!EU49"")"),550)</f>
        <v>550</v>
      </c>
      <c r="J381" s="892">
        <f ca="1">IFERROR(__xludf.DUMMYFUNCTION("IMPORTRANGE(""https://docs.google.com/spreadsheets/d/1XWAQStnk-4SwqDmLtmXYiTMKHgktTP8We1SCoS47DrQ/edit?usp=sharing"",""จัดที่ดิน!AL49"")"),307)</f>
        <v>307</v>
      </c>
      <c r="K381" s="893">
        <f t="shared" ca="1" si="164"/>
        <v>55.81818181818182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IFERROR(__xludf.DUMMYFUNCTION("IMPORTRANGE(""https://docs.google.com/spreadsheets/d/1XWAQStnk-4SwqDmLtmXYiTMKHgktTP8We1SCoS47DrQ/edit?usp=sharing"",""จัดที่ดิน!AM49"")"),2520.68)</f>
        <v>2520.6799999999998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IFERROR(__xludf.DUMMYFUNCTION("IMPORTRANGE(""https://docs.google.com/spreadsheets/d/1QqKyyYR6Q21VydFLVH3TRQUabQu_ym0Zz7PgGX0-kHA/edit?usp=sharing"",""แผน!EW49"")"),30)</f>
        <v>30</v>
      </c>
      <c r="J385" s="1149">
        <f ca="1">IFERROR(__xludf.DUMMYFUNCTION("IMPORTRANGE(""https://docs.google.com/spreadsheets/d/1XWAQStnk-4SwqDmLtmXYiTMKHgktTP8We1SCoS47DrQ/edit?usp=sharing"",""จัดที่ดิน!AP49"")"),9)</f>
        <v>9</v>
      </c>
      <c r="K385" s="1251">
        <f ca="1">IF(I385&gt;0,J385*100/I385,0)</f>
        <v>30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IFERROR(__xludf.DUMMYFUNCTION("IMPORTRANGE(""https://docs.google.com/spreadsheets/d/1MeEWN-I1oV_STSDYn1IFDPWt_1FKiwhDph83XaGc0o0/edit?usp=sharing"",""งบพรบ!FG49"")"),0)</f>
        <v>0</v>
      </c>
      <c r="M394" s="899">
        <f ca="1">IFERROR(__xludf.DUMMYFUNCTION("IMPORTRANGE(""https://docs.google.com/spreadsheets/d/1MeEWN-I1oV_STSDYn1IFDPWt_1FKiwhDph83XaGc0o0/edit?usp=sharing"",""งบพรบ!FL49"")"),0)</f>
        <v>0</v>
      </c>
      <c r="N394" s="899">
        <f ca="1">IFERROR(__xludf.DUMMYFUNCTION("IMPORTRANGE(""https://docs.google.com/spreadsheets/d/1MeEWN-I1oV_STSDYn1IFDPWt_1FKiwhDph83XaGc0o0/edit?usp=sharing"",""งบพรบ!FN49"")"),0)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IFERROR(__xludf.DUMMYFUNCTION("IMPORTRANGE(""https://docs.google.com/spreadsheets/d/1MeEWN-I1oV_STSDYn1IFDPWt_1FKiwhDph83XaGc0o0/edit?usp=sharing"",""งบพรบ!FJ49"")"),0)</f>
        <v>0</v>
      </c>
      <c r="M397" s="899">
        <f ca="1">IFERROR(__xludf.DUMMYFUNCTION("IMPORTRANGE(""https://docs.google.com/spreadsheets/d/1MeEWN-I1oV_STSDYn1IFDPWt_1FKiwhDph83XaGc0o0/edit?usp=sharing"",""งบพรบ!FM49"")"),0)</f>
        <v>0</v>
      </c>
      <c r="N397" s="899">
        <f ca="1">IFERROR(__xludf.DUMMYFUNCTION("IMPORTRANGE(""https://docs.google.com/spreadsheets/d/1MeEWN-I1oV_STSDYn1IFDPWt_1FKiwhDph83XaGc0o0/edit?usp=sharing"",""งบพรบ!FO49"")"),0)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IFERROR(__xludf.DUMMYFUNCTION("IMPORTRANGE(""https://docs.google.com/spreadsheets/d/1MeEWN-I1oV_STSDYn1IFDPWt_1FKiwhDph83XaGc0o0/edit?usp=sharing"",""งบพรบ!FQ49"")"),0)</f>
        <v>0</v>
      </c>
      <c r="M407" s="899">
        <f ca="1">IFERROR(__xludf.DUMMYFUNCTION("IMPORTRANGE(""https://docs.google.com/spreadsheets/d/1MeEWN-I1oV_STSDYn1IFDPWt_1FKiwhDph83XaGc0o0/edit?usp=sharing"",""งบพรบ!FV49"")"),0)</f>
        <v>0</v>
      </c>
      <c r="N407" s="899">
        <f ca="1">IFERROR(__xludf.DUMMYFUNCTION("IMPORTRANGE(""https://docs.google.com/spreadsheets/d/1MeEWN-I1oV_STSDYn1IFDPWt_1FKiwhDph83XaGc0o0/edit?usp=sharing"",""งบพรบ!FX49"")"),0)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IFERROR(__xludf.DUMMYFUNCTION("IMPORTRANGE(""https://docs.google.com/spreadsheets/d/1MeEWN-I1oV_STSDYn1IFDPWt_1FKiwhDph83XaGc0o0/edit?usp=sharing"",""งบพรบ!FT49"")"),0)</f>
        <v>0</v>
      </c>
      <c r="M410" s="899">
        <f ca="1">IFERROR(__xludf.DUMMYFUNCTION("IMPORTRANGE(""https://docs.google.com/spreadsheets/d/1MeEWN-I1oV_STSDYn1IFDPWt_1FKiwhDph83XaGc0o0/edit?usp=sharing"",""งบพรบ!FW49"")"),0)</f>
        <v>0</v>
      </c>
      <c r="N410" s="899">
        <f ca="1">IFERROR(__xludf.DUMMYFUNCTION("IMPORTRANGE(""https://docs.google.com/spreadsheets/d/1MeEWN-I1oV_STSDYn1IFDPWt_1FKiwhDph83XaGc0o0/edit?usp=sharing"",""งบพรบ!FY49"")"),0)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1488361</v>
      </c>
      <c r="M414" s="1293">
        <f t="shared" ca="1" si="181"/>
        <v>1488361</v>
      </c>
      <c r="N414" s="1293">
        <f t="shared" si="181"/>
        <v>287380</v>
      </c>
      <c r="O414" s="1293">
        <f ca="1">IF(L414&gt;0,N414*100/L414,0)</f>
        <v>19.30848765857208</v>
      </c>
      <c r="P414" s="1293">
        <f ca="1">IF(M414&gt;0,N414*100/M414,0)</f>
        <v>19.30848765857208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20</v>
      </c>
      <c r="J417" s="1306">
        <f t="shared" ca="1" si="182"/>
        <v>20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102860</v>
      </c>
      <c r="M419" s="1004">
        <f t="shared" ca="1" si="184"/>
        <v>102860</v>
      </c>
      <c r="N419" s="1004">
        <f t="shared" si="184"/>
        <v>15155</v>
      </c>
      <c r="O419" s="1004">
        <f t="shared" ref="O419:O424" ca="1" si="185">IF(L419&gt;0,N419*100/L419,0)</f>
        <v>14.733618510596928</v>
      </c>
      <c r="P419" s="1004">
        <f t="shared" ref="P419:P424" ca="1" si="186">IF(M419&gt;0,N419*100/M419,0)</f>
        <v>14.733618510596928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102860</v>
      </c>
      <c r="M421" s="899">
        <f t="shared" ca="1" si="187"/>
        <v>102860</v>
      </c>
      <c r="N421" s="899">
        <f t="shared" si="187"/>
        <v>15155</v>
      </c>
      <c r="O421" s="899">
        <f t="shared" ca="1" si="185"/>
        <v>14.733618510596928</v>
      </c>
      <c r="P421" s="899">
        <f t="shared" ca="1" si="186"/>
        <v>14.733618510596928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102860</v>
      </c>
      <c r="M422" s="893">
        <f t="shared" ca="1" si="188"/>
        <v>102860</v>
      </c>
      <c r="N422" s="893">
        <f t="shared" si="188"/>
        <v>15155</v>
      </c>
      <c r="O422" s="893">
        <f t="shared" ca="1" si="185"/>
        <v>14.733618510596928</v>
      </c>
      <c r="P422" s="893">
        <f t="shared" ca="1" si="186"/>
        <v>14.733618510596928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IFERROR(__xludf.DUMMYFUNCTION("IMPORTRANGE(""https://docs.google.com/spreadsheets/d/1QqKyyYR6Q21VydFLVH3TRQUabQu_ym0Zz7PgGX0-kHA/edit?usp=sharing"",""แผน!EY49"")"),102860)</f>
        <v>102860</v>
      </c>
      <c r="M424" s="899">
        <f ca="1">L424</f>
        <v>102860</v>
      </c>
      <c r="N424" s="899">
        <f>N425+N426+N427+N428</f>
        <v>15155</v>
      </c>
      <c r="O424" s="899">
        <f t="shared" ca="1" si="185"/>
        <v>14.733618510596928</v>
      </c>
      <c r="P424" s="899">
        <f t="shared" ca="1" si="186"/>
        <v>14.733618510596928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12575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v>2580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IFERROR(__xludf.DUMMYFUNCTION("IMPORTRANGE(""https://docs.google.com/spreadsheets/d/1QqKyyYR6Q21VydFLVH3TRQUabQu_ym0Zz7PgGX0-kHA/edit?usp=sharing"",""แผน!FB49"")"),0)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20</v>
      </c>
      <c r="J433" s="1031">
        <f ca="1">IF(AND(J435=I435,J437=I437,J439=I439),I437+I439,IF(AND(J435=I437,J437=I437),I437,IF(AND(J435=I439,J439=I439),I439,0)))</f>
        <v>20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IFERROR(__xludf.DUMMYFUNCTION("IMPORTRANGE(""https://docs.google.com/spreadsheets/d/1QqKyyYR6Q21VydFLVH3TRQUabQu_ym0Zz7PgGX0-kHA/edit?usp=sharing"",""แผน!FE49"")"),0)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IFERROR(__xludf.DUMMYFUNCTION("IMPORTRANGE(""https://docs.google.com/spreadsheets/d/1QqKyyYR6Q21VydFLVH3TRQUabQu_ym0Zz7PgGX0-kHA/edit?usp=sharing"",""แผน!FG49"")"),1)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IFERROR(__xludf.DUMMYFUNCTION("IMPORTRANGE(""https://docs.google.com/spreadsheets/d/1QqKyyYR6Q21VydFLVH3TRQUabQu_ym0Zz7PgGX0-kHA/edit?usp=sharing"",""แผน!FH49"")"),0)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30</v>
      </c>
      <c r="J442" s="1322">
        <f t="shared" si="195"/>
        <v>15</v>
      </c>
      <c r="K442" s="1323">
        <f t="shared" ca="1" si="194"/>
        <v>50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150</v>
      </c>
      <c r="J443" s="1306">
        <f t="shared" si="196"/>
        <v>75</v>
      </c>
      <c r="K443" s="1307">
        <f t="shared" ca="1" si="194"/>
        <v>50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211480</v>
      </c>
      <c r="M444" s="1032">
        <f t="shared" ca="1" si="197"/>
        <v>211480</v>
      </c>
      <c r="N444" s="1032">
        <f t="shared" si="197"/>
        <v>26325</v>
      </c>
      <c r="O444" s="1032">
        <f t="shared" ref="O444:O449" ca="1" si="198">IF(L444&gt;0,N444*100/L444,0)</f>
        <v>12.447985625118214</v>
      </c>
      <c r="P444" s="1032">
        <f t="shared" ref="P444:P449" ca="1" si="199">IF(M444&gt;0,N444*100/M444,0)</f>
        <v>12.447985625118214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211480</v>
      </c>
      <c r="M446" s="899">
        <f t="shared" ca="1" si="200"/>
        <v>211480</v>
      </c>
      <c r="N446" s="899">
        <f t="shared" si="200"/>
        <v>26325</v>
      </c>
      <c r="O446" s="899">
        <f t="shared" ca="1" si="198"/>
        <v>12.447985625118214</v>
      </c>
      <c r="P446" s="899">
        <f t="shared" ca="1" si="199"/>
        <v>12.447985625118214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211480</v>
      </c>
      <c r="M447" s="893">
        <f t="shared" ca="1" si="201"/>
        <v>211480</v>
      </c>
      <c r="N447" s="893">
        <f t="shared" si="201"/>
        <v>26325</v>
      </c>
      <c r="O447" s="893">
        <f t="shared" ca="1" si="198"/>
        <v>12.447985625118214</v>
      </c>
      <c r="P447" s="893">
        <f t="shared" ca="1" si="199"/>
        <v>12.447985625118214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IFERROR(__xludf.DUMMYFUNCTION("IMPORTRANGE(""https://docs.google.com/spreadsheets/d/1QqKyyYR6Q21VydFLVH3TRQUabQu_ym0Zz7PgGX0-kHA/edit?usp=sharing"",""แผน!FJ49"")"),211480)</f>
        <v>211480</v>
      </c>
      <c r="M449" s="899">
        <f ca="1">L449</f>
        <v>211480</v>
      </c>
      <c r="N449" s="899">
        <f>N450+N451+N452+N453</f>
        <v>26325</v>
      </c>
      <c r="O449" s="899">
        <f t="shared" ca="1" si="198"/>
        <v>12.447985625118214</v>
      </c>
      <c r="P449" s="899">
        <f t="shared" ca="1" si="199"/>
        <v>12.447985625118214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23635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450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v>2240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IFERROR(__xludf.DUMMYFUNCTION("IMPORTRANGE(""https://docs.google.com/spreadsheets/d/1QqKyyYR6Q21VydFLVH3TRQUabQu_ym0Zz7PgGX0-kHA/edit?usp=sharing"",""แผน!FM49"")"),0)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IFERROR(__xludf.DUMMYFUNCTION("IMPORTRANGE(""https://docs.google.com/spreadsheets/d/1QqKyyYR6Q21VydFLVH3TRQUabQu_ym0Zz7PgGX0-kHA/edit?usp=sharing"",""แผน!FN49"")"),30)</f>
        <v>30</v>
      </c>
      <c r="J460" s="1024">
        <v>15</v>
      </c>
      <c r="K460" s="893">
        <f ca="1">IF(I460&gt;0,J460*100/I460,0)</f>
        <v>50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IFERROR(__xludf.DUMMYFUNCTION("IMPORTRANGE(""https://docs.google.com/spreadsheets/d/1QqKyyYR6Q21VydFLVH3TRQUabQu_ym0Zz7PgGX0-kHA/edit?usp=sharing"",""แผน!FO49"")"),150)</f>
        <v>150</v>
      </c>
      <c r="J462" s="1024">
        <v>75</v>
      </c>
      <c r="K462" s="893">
        <f t="shared" ref="K462:K466" ca="1" si="205">IF(I462&gt;0,J462*100/I462,0)</f>
        <v>50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IFERROR(__xludf.DUMMYFUNCTION("IMPORTRANGE(""https://docs.google.com/spreadsheets/d/1QqKyyYR6Q21VydFLVH3TRQUabQu_ym0Zz7PgGX0-kHA/edit?usp=sharing"",""แผน!FO49"")"),150)</f>
        <v>150</v>
      </c>
      <c r="J463" s="1024">
        <v>0</v>
      </c>
      <c r="K463" s="893">
        <f t="shared" ca="1" si="205"/>
        <v>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IFERROR(__xludf.DUMMYFUNCTION("IMPORTRANGE(""https://docs.google.com/spreadsheets/d/1QqKyyYR6Q21VydFLVH3TRQUabQu_ym0Zz7PgGX0-kHA/edit?usp=sharing"",""แผน!FN49"")"),30)</f>
        <v>30</v>
      </c>
      <c r="J464" s="1024">
        <v>0</v>
      </c>
      <c r="K464" s="893">
        <f t="shared" ca="1" si="205"/>
        <v>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IFERROR(__xludf.DUMMYFUNCTION("IMPORTRANGE(""https://docs.google.com/spreadsheets/d/1QqKyyYR6Q21VydFLVH3TRQUabQu_ym0Zz7PgGX0-kHA/edit?usp=sharing"",""แผน!FX49"")"),51)</f>
        <v>51</v>
      </c>
      <c r="J465" s="1322">
        <f>J485+J489+J492</f>
        <v>51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IFERROR(__xludf.DUMMYFUNCTION("IMPORTRANGE(""https://docs.google.com/spreadsheets/d/1QqKyyYR6Q21VydFLVH3TRQUabQu_ym0Zz7PgGX0-kHA/edit?usp=sharing"",""แผน!FW49"")"),500)</f>
        <v>500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414783</v>
      </c>
      <c r="M467" s="1032">
        <f t="shared" ca="1" si="206"/>
        <v>414783</v>
      </c>
      <c r="N467" s="1032">
        <f t="shared" si="206"/>
        <v>70825</v>
      </c>
      <c r="O467" s="1032">
        <f t="shared" ref="O467:O472" ca="1" si="207">IF(L467&gt;0,N467*100/L467,0)</f>
        <v>17.075193534932723</v>
      </c>
      <c r="P467" s="1032">
        <f t="shared" ref="P467:P472" ca="1" si="208">IF(M467&gt;0,N467*100/M467,0)</f>
        <v>17.075193534932723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414783</v>
      </c>
      <c r="M469" s="899">
        <f t="shared" ca="1" si="209"/>
        <v>414783</v>
      </c>
      <c r="N469" s="899">
        <f t="shared" si="209"/>
        <v>70825</v>
      </c>
      <c r="O469" s="899">
        <f t="shared" ca="1" si="207"/>
        <v>17.075193534932723</v>
      </c>
      <c r="P469" s="899">
        <f t="shared" ca="1" si="208"/>
        <v>17.075193534932723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414783</v>
      </c>
      <c r="M470" s="893">
        <f t="shared" ca="1" si="210"/>
        <v>414783</v>
      </c>
      <c r="N470" s="893">
        <f t="shared" si="210"/>
        <v>70825</v>
      </c>
      <c r="O470" s="893">
        <f t="shared" ca="1" si="207"/>
        <v>17.075193534932723</v>
      </c>
      <c r="P470" s="893">
        <f t="shared" ca="1" si="208"/>
        <v>17.075193534932723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IFERROR(__xludf.DUMMYFUNCTION("IMPORTRANGE(""https://docs.google.com/spreadsheets/d/1QqKyyYR6Q21VydFLVH3TRQUabQu_ym0Zz7PgGX0-kHA/edit?usp=sharing"",""แผน!FS49"")"),414783)</f>
        <v>414783</v>
      </c>
      <c r="M472" s="899">
        <f ca="1">L472</f>
        <v>414783</v>
      </c>
      <c r="N472" s="899">
        <f>N473+N474+N475+N476</f>
        <v>70825</v>
      </c>
      <c r="O472" s="899">
        <f t="shared" ca="1" si="207"/>
        <v>17.075193534932723</v>
      </c>
      <c r="P472" s="899">
        <f t="shared" ca="1" si="208"/>
        <v>17.075193534932723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56250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1875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v>12700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IFERROR(__xludf.DUMMYFUNCTION("IMPORTRANGE(""https://docs.google.com/spreadsheets/d/1QqKyyYR6Q21VydFLVH3TRQUabQu_ym0Zz7PgGX0-kHA/edit?usp=sharing"",""แผน!FV49"")"),0)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IFERROR(__xludf.DUMMYFUNCTION("IMPORTRANGE(""https://docs.google.com/spreadsheets/d/1QqKyyYR6Q21VydFLVH3TRQUabQu_ym0Zz7PgGX0-kHA/edit?usp=sharing"",""แผน!FY49"")"),450)</f>
        <v>450</v>
      </c>
      <c r="J483" s="1024">
        <v>450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0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IFERROR(__xludf.DUMMYFUNCTION("IMPORTRANGE(""https://docs.google.com/spreadsheets/d/1QqKyyYR6Q21VydFLVH3TRQUabQu_ym0Zz7PgGX0-kHA/edit?usp=sharing"",""แผน!FZ49"")"),45)</f>
        <v>45</v>
      </c>
      <c r="J485" s="1024">
        <v>45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IFERROR(__xludf.DUMMYFUNCTION("IMPORTRANGE(""https://docs.google.com/spreadsheets/d/1QqKyyYR6Q21VydFLVH3TRQUabQu_ym0Zz7PgGX0-kHA/edit?usp=sharing"",""แผน!GA49"")"),50)</f>
        <v>50</v>
      </c>
      <c r="J487" s="1024">
        <v>50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IFERROR(__xludf.DUMMYFUNCTION("IMPORTRANGE(""https://docs.google.com/spreadsheets/d/1QqKyyYR6Q21VydFLVH3TRQUabQu_ym0Zz7PgGX0-kHA/edit?usp=sharing"",""แผน!GB49"")"),5)</f>
        <v>5</v>
      </c>
      <c r="J489" s="1024">
        <v>5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0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IFERROR(__xludf.DUMMYFUNCTION("IMPORTRANGE(""https://docs.google.com/spreadsheets/d/1QqKyyYR6Q21VydFLVH3TRQUabQu_ym0Zz7PgGX0-kHA/edit?usp=sharing"",""แผน!GC49"")"),1)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IFERROR(__xludf.DUMMYFUNCTION("IMPORTRANGE(""https://docs.google.com/spreadsheets/d/1QqKyyYR6Q21VydFLVH3TRQUabQu_ym0Zz7PgGX0-kHA/edit?usp=sharing"",""แผน!FY49"")"),450)</f>
        <v>450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IFERROR(__xludf.DUMMYFUNCTION("IMPORTRANGE(""https://docs.google.com/spreadsheets/d/1QqKyyYR6Q21VydFLVH3TRQUabQu_ym0Zz7PgGX0-kHA/edit?usp=sharing"",""แผน!GA49"")"),50)</f>
        <v>50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IFERROR(__xludf.DUMMYFUNCTION("IMPORTRANGE(""https://docs.google.com/spreadsheets/d/1QqKyyYR6Q21VydFLVH3TRQUabQu_ym0Zz7PgGX0-kHA/edit?usp=sharing"",""แผน!GQ49"")"),0)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IFERROR(__xludf.DUMMYFUNCTION("IMPORTRANGE(""https://docs.google.com/spreadsheets/d/1QqKyyYR6Q21VydFLVH3TRQUabQu_ym0Zz7PgGX0-kHA/edit?usp=sharing"",""แผน!GT49"")"),0)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IFERROR(__xludf.DUMMYFUNCTION("IMPORTRANGE(""https://docs.google.com/spreadsheets/d/1QqKyyYR6Q21VydFLVH3TRQUabQu_ym0Zz7PgGX0-kHA/edit?usp=sharing"",""แผน!GU49"")"),0)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IFERROR(__xludf.DUMMYFUNCTION("IMPORTRANGE(""https://docs.google.com/spreadsheets/d/1QqKyyYR6Q21VydFLVH3TRQUabQu_ym0Zz7PgGX0-kHA/edit?usp=sharing"",""แผน!GV49"")"),0)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IFERROR(__xludf.DUMMYFUNCTION("IMPORTRANGE(""https://docs.google.com/spreadsheets/d/1QqKyyYR6Q21VydFLVH3TRQUabQu_ym0Zz7PgGX0-kHA/edit?usp=sharing"",""แผน!GW49"")"),0)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IFERROR(__xludf.DUMMYFUNCTION("IMPORTRANGE(""https://docs.google.com/spreadsheets/d/1QqKyyYR6Q21VydFLVH3TRQUabQu_ym0Zz7PgGX0-kHA/edit?usp=sharing"",""แผน!GX49"")"),0)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IFERROR(__xludf.DUMMYFUNCTION("IMPORTRANGE(""https://docs.google.com/spreadsheets/d/1QqKyyYR6Q21VydFLVH3TRQUabQu_ym0Zz7PgGX0-kHA/edit?usp=sharing"",""แผน!GY49"")"),0)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IFERROR(__xludf.DUMMYFUNCTION("IMPORTRANGE(""https://docs.google.com/spreadsheets/d/1QqKyyYR6Q21VydFLVH3TRQUabQu_ym0Zz7PgGX0-kHA/edit?usp=sharing"",""แผน!GZ49"")"),0)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22152</v>
      </c>
      <c r="J543" s="1396">
        <f t="shared" si="235"/>
        <v>0</v>
      </c>
      <c r="K543" s="1397">
        <f t="shared" ca="1" si="234"/>
        <v>0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397413</v>
      </c>
      <c r="M544" s="1004">
        <f t="shared" ca="1" si="236"/>
        <v>397413</v>
      </c>
      <c r="N544" s="1004">
        <f t="shared" si="236"/>
        <v>93075</v>
      </c>
      <c r="O544" s="1004">
        <f t="shared" ref="O544:O549" ca="1" si="237">IF(L544&gt;0,N544*100/L544,0)</f>
        <v>23.420220274626146</v>
      </c>
      <c r="P544" s="1004">
        <f t="shared" ref="P544:P549" ca="1" si="238">IF(M544&gt;0,N544*100/M544,0)</f>
        <v>23.420220274626146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397413</v>
      </c>
      <c r="M546" s="899">
        <f t="shared" ca="1" si="240"/>
        <v>397413</v>
      </c>
      <c r="N546" s="899">
        <f t="shared" si="240"/>
        <v>93075</v>
      </c>
      <c r="O546" s="899">
        <f t="shared" ca="1" si="237"/>
        <v>23.420220274626146</v>
      </c>
      <c r="P546" s="899">
        <f t="shared" ca="1" si="238"/>
        <v>23.420220274626146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397413</v>
      </c>
      <c r="M547" s="893">
        <f t="shared" ca="1" si="241"/>
        <v>397413</v>
      </c>
      <c r="N547" s="893">
        <f t="shared" si="241"/>
        <v>93075</v>
      </c>
      <c r="O547" s="893">
        <f t="shared" ca="1" si="237"/>
        <v>23.420220274626146</v>
      </c>
      <c r="P547" s="893">
        <f t="shared" ca="1" si="238"/>
        <v>23.420220274626146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IFERROR(__xludf.DUMMYFUNCTION("IMPORTRANGE(""https://docs.google.com/spreadsheets/d/1QqKyyYR6Q21VydFLVH3TRQUabQu_ym0Zz7PgGX0-kHA/edit?usp=sharing"",""แผน!HB49"")"),397413)</f>
        <v>397413</v>
      </c>
      <c r="M549" s="899">
        <f ca="1">L549</f>
        <v>397413</v>
      </c>
      <c r="N549" s="899">
        <f>N550+N551+N552+N553+N554</f>
        <v>93075</v>
      </c>
      <c r="O549" s="899">
        <f t="shared" ca="1" si="237"/>
        <v>23.420220274626146</v>
      </c>
      <c r="P549" s="899">
        <f t="shared" ca="1" si="238"/>
        <v>23.420220274626146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v>28075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IFERROR(__xludf.DUMMYFUNCTION("IMPORTRANGE(""https://docs.google.com/spreadsheets/d/1QqKyyYR6Q21VydFLVH3TRQUabQu_ym0Zz7PgGX0-kHA/edit?usp=sharing"",""แผน!HF49"")"),0)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22152</v>
      </c>
      <c r="J559" s="1389">
        <f t="shared" si="245"/>
        <v>0</v>
      </c>
      <c r="K559" s="1390">
        <f t="shared" ref="K559:K561" ca="1" si="246">IF(I559&gt;0,J559*100/I559,0)</f>
        <v>0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IFERROR(__xludf.DUMMYFUNCTION("IMPORTRANGE(""https://docs.google.com/spreadsheets/d/1QqKyyYR6Q21VydFLVH3TRQUabQu_ym0Zz7PgGX0-kHA/edit?usp=sharing"",""แผน!HH49"")"),22152)</f>
        <v>22152</v>
      </c>
      <c r="J560" s="1030">
        <f t="shared" ref="J560:J561" si="247">J562+J564+J566</f>
        <v>22152</v>
      </c>
      <c r="K560" s="1174">
        <f t="shared" ca="1" si="246"/>
        <v>100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IFERROR(__xludf.DUMMYFUNCTION("IMPORTRANGE(""https://docs.google.com/spreadsheets/d/1QqKyyYR6Q21VydFLVH3TRQUabQu_ym0Zz7PgGX0-kHA/edit?usp=sharing"",""แผน!HG49"")"),1801)</f>
        <v>1801</v>
      </c>
      <c r="J561" s="1030">
        <f t="shared" si="247"/>
        <v>1801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19211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1574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2002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156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939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71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IFERROR(__xludf.DUMMYFUNCTION("IMPORTRANGE(""https://docs.google.com/spreadsheets/d/1QqKyyYR6Q21VydFLVH3TRQUabQu_ym0Zz7PgGX0-kHA/edit?usp=sharing"",""แผน!HH49"")"),22152)</f>
        <v>22152</v>
      </c>
      <c r="J568" s="1031">
        <f t="shared" ref="J568:J569" si="248">J570+J572+J574</f>
        <v>0</v>
      </c>
      <c r="K568" s="1174">
        <f t="shared" ref="K568:K569" ca="1" si="249">IF(I568&gt;0,J568*100/I568,0)</f>
        <v>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IFERROR(__xludf.DUMMYFUNCTION("IMPORTRANGE(""https://docs.google.com/spreadsheets/d/1QqKyyYR6Q21VydFLVH3TRQUabQu_ym0Zz7PgGX0-kHA/edit?usp=sharing"",""แผน!HG49"")"),1801)</f>
        <v>1801</v>
      </c>
      <c r="J569" s="1031">
        <f t="shared" si="248"/>
        <v>0</v>
      </c>
      <c r="K569" s="1174">
        <f t="shared" ca="1" si="249"/>
        <v>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0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0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0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0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0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0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IFERROR(__xludf.DUMMYFUNCTION("IMPORTRANGE(""https://docs.google.com/spreadsheets/d/1QqKyyYR6Q21VydFLVH3TRQUabQu_ym0Zz7PgGX0-kHA/edit?usp=sharing"",""แผน!HH49"")"),22152)</f>
        <v>22152</v>
      </c>
      <c r="J576" s="1031">
        <f t="shared" ref="J576:J577" si="250">J578+J580+J582+J588+J590</f>
        <v>0</v>
      </c>
      <c r="K576" s="1174">
        <f t="shared" ref="K576:K577" ca="1" si="251">IF(I576&gt;0,J576*100/I576,0)</f>
        <v>0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IFERROR(__xludf.DUMMYFUNCTION("IMPORTRANGE(""https://docs.google.com/spreadsheets/d/1QqKyyYR6Q21VydFLVH3TRQUabQu_ym0Zz7PgGX0-kHA/edit?usp=sharing"",""แผน!HG49"")"),1801)</f>
        <v>1801</v>
      </c>
      <c r="J577" s="1031">
        <f t="shared" si="250"/>
        <v>0</v>
      </c>
      <c r="K577" s="1174">
        <f t="shared" ca="1" si="251"/>
        <v>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0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0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0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0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0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0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0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0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1063.5999999999999</v>
      </c>
      <c r="J592" s="1389">
        <f t="shared" si="253"/>
        <v>1063.8499999999999</v>
      </c>
      <c r="K592" s="1390">
        <f t="shared" ref="K592:K594" ca="1" si="254">IF(I592&gt;0,J592*100/I592,0)</f>
        <v>100.02350507709664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IFERROR(__xludf.DUMMYFUNCTION("IMPORTRANGE(""https://docs.google.com/spreadsheets/d/1QqKyyYR6Q21VydFLVH3TRQUabQu_ym0Zz7PgGX0-kHA/edit?usp=sharing"",""แผน!HJ49"")"),1063.6)</f>
        <v>1063.5999999999999</v>
      </c>
      <c r="J593" s="1030">
        <f t="shared" ref="J593:J594" si="255">J595+J603+J609</f>
        <v>1063.8499999999999</v>
      </c>
      <c r="K593" s="1174">
        <f t="shared" ca="1" si="254"/>
        <v>100.02350507709664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IFERROR(__xludf.DUMMYFUNCTION("IMPORTRANGE(""https://docs.google.com/spreadsheets/d/1QqKyyYR6Q21VydFLVH3TRQUabQu_ym0Zz7PgGX0-kHA/edit?usp=sharing"",""แผน!HI49"")"),385)</f>
        <v>385</v>
      </c>
      <c r="J594" s="1030">
        <f t="shared" si="255"/>
        <v>385</v>
      </c>
      <c r="K594" s="1174">
        <f t="shared" ca="1" si="254"/>
        <v>100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1033.28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376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517">
        <v>1033.28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376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30.32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8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517">
        <v>30.32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8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517">
        <v>0.25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1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IFERROR(__xludf.DUMMYFUNCTION("IMPORTRANGE(""https://docs.google.com/spreadsheets/d/1QqKyyYR6Q21VydFLVH3TRQUabQu_ym0Zz7PgGX0-kHA/edit?usp=sharing"",""แผน!HL49"")"),0)</f>
        <v>0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IFERROR(__xludf.DUMMYFUNCTION("IMPORTRANGE(""https://docs.google.com/spreadsheets/d/1QqKyyYR6Q21VydFLVH3TRQUabQu_ym0Zz7PgGX0-kHA/edit?usp=sharing"",""แผน!HK49"")"),0)</f>
        <v>0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90</v>
      </c>
      <c r="J628" s="1438">
        <f t="shared" ca="1" si="262"/>
        <v>4</v>
      </c>
      <c r="K628" s="1439">
        <f ca="1">IF(I628&gt;0,J628*100/I628,0)</f>
        <v>4.4444444444444446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349485</v>
      </c>
      <c r="M629" s="1032">
        <f t="shared" ca="1" si="263"/>
        <v>349485</v>
      </c>
      <c r="N629" s="1032">
        <f t="shared" si="263"/>
        <v>80000</v>
      </c>
      <c r="O629" s="1032">
        <f t="shared" ref="O629:O634" ca="1" si="264">IF(L629&gt;0,N629*100/L629,0)</f>
        <v>22.89082507117616</v>
      </c>
      <c r="P629" s="1032">
        <f t="shared" ref="P629:P634" ca="1" si="265">IF(M629&gt;0,N629*100/M629,0)</f>
        <v>22.89082507117616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349485</v>
      </c>
      <c r="M631" s="899">
        <f t="shared" ca="1" si="266"/>
        <v>349485</v>
      </c>
      <c r="N631" s="899">
        <f t="shared" si="266"/>
        <v>80000</v>
      </c>
      <c r="O631" s="899">
        <f t="shared" ca="1" si="264"/>
        <v>22.89082507117616</v>
      </c>
      <c r="P631" s="899">
        <f t="shared" ca="1" si="265"/>
        <v>22.89082507117616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349485</v>
      </c>
      <c r="M632" s="893">
        <f t="shared" ca="1" si="267"/>
        <v>349485</v>
      </c>
      <c r="N632" s="893">
        <f t="shared" si="267"/>
        <v>80000</v>
      </c>
      <c r="O632" s="893">
        <f t="shared" ca="1" si="264"/>
        <v>22.89082507117616</v>
      </c>
      <c r="P632" s="893">
        <f t="shared" ca="1" si="265"/>
        <v>22.89082507117616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IFERROR(__xludf.DUMMYFUNCTION("IMPORTRANGE(""https://docs.google.com/spreadsheets/d/1QqKyyYR6Q21VydFLVH3TRQUabQu_ym0Zz7PgGX0-kHA/edit?usp=sharing"",""แผน!HN49"")"),349485)</f>
        <v>349485</v>
      </c>
      <c r="M634" s="899">
        <f ca="1">L634</f>
        <v>349485</v>
      </c>
      <c r="N634" s="899">
        <f>N635+N636+N637+N638</f>
        <v>80000</v>
      </c>
      <c r="O634" s="899">
        <f t="shared" ca="1" si="264"/>
        <v>22.89082507117616</v>
      </c>
      <c r="P634" s="899">
        <f t="shared" ca="1" si="265"/>
        <v>22.89082507117616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65000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v>15000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IFERROR(__xludf.DUMMYFUNCTION("IMPORTRANGE(""https://docs.google.com/spreadsheets/d/1QqKyyYR6Q21VydFLVH3TRQUabQu_ym0Zz7PgGX0-kHA/edit?usp=sharing"",""แผน!HQ49"")"),0)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IFERROR(__xludf.DUMMYFUNCTION("IMPORTRANGE(""https://docs.google.com/spreadsheets/d/1QqKyyYR6Q21VydFLVH3TRQUabQu_ym0Zz7PgGX0-kHA/edit?usp=sharing"",""แผน!HR49"")"),0)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IFERROR(__xludf.DUMMYFUNCTION("IMPORTRANGE(""https://docs.google.com/spreadsheets/d/1QqKyyYR6Q21VydFLVH3TRQUabQu_ym0Zz7PgGX0-kHA/edit?usp=sharing"",""แผน!HR49"")"),0)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IFERROR(__xludf.DUMMYFUNCTION("IMPORTRANGE(""https://docs.google.com/spreadsheets/d/1XWAQStnk-4SwqDmLtmXYiTMKHgktTP8We1SCoS47DrQ/edit?usp=sharing"",""จัดที่ดิน!AS49"")"),32)</f>
        <v>32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IFERROR(__xludf.DUMMYFUNCTION("IMPORTRANGE(""https://docs.google.com/spreadsheets/d/1XWAQStnk-4SwqDmLtmXYiTMKHgktTP8We1SCoS47DrQ/edit?usp=sharing"",""จัดที่ดิน!AT49"")"),8.82)</f>
        <v>8.82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IFERROR(__xludf.DUMMYFUNCTION("IMPORTRANGE(""https://docs.google.com/spreadsheets/d/1QqKyyYR6Q21VydFLVH3TRQUabQu_ym0Zz7PgGX0-kHA/edit?usp=sharing"",""แผน!HS49"")"),90)</f>
        <v>90</v>
      </c>
      <c r="J647" s="892">
        <f ca="1">IFERROR(__xludf.DUMMYFUNCTION("IMPORTRANGE(""https://docs.google.com/spreadsheets/d/1XWAQStnk-4SwqDmLtmXYiTMKHgktTP8We1SCoS47DrQ/edit?usp=sharing"",""จัดที่ดิน!AU49"")"),4)</f>
        <v>4</v>
      </c>
      <c r="K647" s="1010">
        <f t="shared" ca="1" si="271"/>
        <v>4.4444444444444446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IFERROR(__xludf.DUMMYFUNCTION("IMPORTRANGE(""https://docs.google.com/spreadsheets/d/1XWAQStnk-4SwqDmLtmXYiTMKHgktTP8We1SCoS47DrQ/edit?usp=sharing"",""จัดที่ดิน!AV49"")"),1.45)</f>
        <v>1.45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IFERROR(__xludf.DUMMYFUNCTION("IMPORTRANGE(""https://docs.google.com/spreadsheets/d/1QqKyyYR6Q21VydFLVH3TRQUabQu_ym0Zz7PgGX0-kHA/edit?usp=sharing"",""แผน!HS49"")"),90)</f>
        <v>90</v>
      </c>
      <c r="J649" s="892">
        <f ca="1">IFERROR(__xludf.DUMMYFUNCTION("IMPORTRANGE(""https://docs.google.com/spreadsheets/d/1XWAQStnk-4SwqDmLtmXYiTMKHgktTP8We1SCoS47DrQ/edit?usp=sharing"",""จัดที่ดิน!AW49"")"),4)</f>
        <v>4</v>
      </c>
      <c r="K649" s="1010">
        <f t="shared" ca="1" si="271"/>
        <v>4.4444444444444446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IFERROR(__xludf.DUMMYFUNCTION("IMPORTRANGE(""https://docs.google.com/spreadsheets/d/1XWAQStnk-4SwqDmLtmXYiTMKHgktTP8We1SCoS47DrQ/edit?usp=sharing"",""จัดที่ดิน!AX49"")"),1.45)</f>
        <v>1.45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IFERROR(__xludf.DUMMYFUNCTION("IMPORTRANGE(""https://docs.google.com/spreadsheets/d/1QqKyyYR6Q21VydFLVH3TRQUabQu_ym0Zz7PgGX0-kHA/edit?usp=sharing"",""แผน!HS49"")"),90)</f>
        <v>90</v>
      </c>
      <c r="J651" s="892">
        <f ca="1">IFERROR(__xludf.DUMMYFUNCTION("IMPORTRANGE(""https://docs.google.com/spreadsheets/d/1XWAQStnk-4SwqDmLtmXYiTMKHgktTP8We1SCoS47DrQ/edit?usp=sharing"",""จัดที่ดิน!AY49"")"),4)</f>
        <v>4</v>
      </c>
      <c r="K651" s="1010">
        <f t="shared" ca="1" si="271"/>
        <v>4.4444444444444446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IFERROR(__xludf.DUMMYFUNCTION("IMPORTRANGE(""https://docs.google.com/spreadsheets/d/1XWAQStnk-4SwqDmLtmXYiTMKHgktTP8We1SCoS47DrQ/edit?usp=sharing"",""จัดที่ดิน!AZ49"")"),1.4475)</f>
        <v>1.4475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50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9400</v>
      </c>
      <c r="M655" s="1032">
        <f t="shared" ca="1" si="273"/>
        <v>9400</v>
      </c>
      <c r="N655" s="1032">
        <f t="shared" si="273"/>
        <v>2000</v>
      </c>
      <c r="O655" s="1032">
        <f t="shared" ref="O655:O660" ca="1" si="274">IF(L655&gt;0,N655*100/L655,0)</f>
        <v>21.276595744680851</v>
      </c>
      <c r="P655" s="1032">
        <f t="shared" ref="P655:P660" ca="1" si="275">IF(M655&gt;0,N655*100/M655,0)</f>
        <v>21.276595744680851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9400</v>
      </c>
      <c r="M657" s="899">
        <f t="shared" ca="1" si="276"/>
        <v>9400</v>
      </c>
      <c r="N657" s="899">
        <f t="shared" si="276"/>
        <v>2000</v>
      </c>
      <c r="O657" s="899">
        <f t="shared" ca="1" si="274"/>
        <v>21.276595744680851</v>
      </c>
      <c r="P657" s="899">
        <f t="shared" ca="1" si="275"/>
        <v>21.276595744680851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9400</v>
      </c>
      <c r="M658" s="893">
        <f t="shared" ca="1" si="277"/>
        <v>9400</v>
      </c>
      <c r="N658" s="893">
        <f t="shared" si="277"/>
        <v>2000</v>
      </c>
      <c r="O658" s="893">
        <f t="shared" ca="1" si="274"/>
        <v>21.276595744680851</v>
      </c>
      <c r="P658" s="893">
        <f t="shared" ca="1" si="275"/>
        <v>21.276595744680851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IFERROR(__xludf.DUMMYFUNCTION("IMPORTRANGE(""https://docs.google.com/spreadsheets/d/1QqKyyYR6Q21VydFLVH3TRQUabQu_ym0Zz7PgGX0-kHA/edit?usp=sharing"",""แผน!HV49"")"),9400)</f>
        <v>9400</v>
      </c>
      <c r="M660" s="899">
        <f ca="1">L660</f>
        <v>9400</v>
      </c>
      <c r="N660" s="899">
        <f>N661+N662+N663+N664</f>
        <v>2000</v>
      </c>
      <c r="O660" s="899">
        <f t="shared" ca="1" si="274"/>
        <v>21.276595744680851</v>
      </c>
      <c r="P660" s="899">
        <f t="shared" ca="1" si="275"/>
        <v>21.276595744680851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2000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IFERROR(__xludf.DUMMYFUNCTION("IMPORTRANGE(""https://docs.google.com/spreadsheets/d/1QqKyyYR6Q21VydFLVH3TRQUabQu_ym0Zz7PgGX0-kHA/edit?usp=sharing"",""แผน!IA49"")"),50)</f>
        <v>50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IFERROR(__xludf.DUMMYFUNCTION("IMPORTRANGE(""https://docs.google.com/spreadsheets/d/1QqKyyYR6Q21VydFLVH3TRQUabQu_ym0Zz7PgGX0-kHA/edit?usp=sharing"",""แผน!HZ49"")"),4)</f>
        <v>4</v>
      </c>
      <c r="J670" s="1024">
        <v>4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IFERROR(__xludf.DUMMYFUNCTION("IMPORTRANGE(""https://docs.google.com/spreadsheets/d/1QqKyyYR6Q21VydFLVH3TRQUabQu_ym0Zz7PgGX0-kHA/edit?usp=sharing"",""แผน!HZ49"")"),4)</f>
        <v>4</v>
      </c>
      <c r="J671" s="1024">
        <v>4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183.75</v>
      </c>
      <c r="K672" s="893">
        <f t="shared" ref="K672:K675" ca="1" si="281">IF(I$669&gt;0,J672*100/I$669,0)</f>
        <v>367.5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184</v>
      </c>
      <c r="K673" s="893">
        <f t="shared" ca="1" si="281"/>
        <v>368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IFERROR(__xludf.DUMMYFUNCTION("IMPORTRANGE(""https://docs.google.com/spreadsheets/d/1QqKyyYR6Q21VydFLVH3TRQUabQu_ym0Zz7PgGX0-kHA/edit?usp=sharing"",""แผน!IB49"")"),0)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2940</v>
      </c>
      <c r="M685" s="1032">
        <f t="shared" ca="1" si="282"/>
        <v>2940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2940</v>
      </c>
      <c r="M687" s="899">
        <f t="shared" ca="1" si="285"/>
        <v>2940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2940</v>
      </c>
      <c r="M688" s="893">
        <f t="shared" ca="1" si="286"/>
        <v>2940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IFERROR(__xludf.DUMMYFUNCTION("IMPORTRANGE(""https://docs.google.com/spreadsheets/d/1QqKyyYR6Q21VydFLVH3TRQUabQu_ym0Zz7PgGX0-kHA/edit?usp=sharing"",""แผน!HW49"")"),2940)</f>
        <v>2940</v>
      </c>
      <c r="M690" s="899">
        <f ca="1">L690</f>
        <v>2940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IFERROR(__xludf.DUMMYFUNCTION("IMPORTRANGE(""https://docs.google.com/spreadsheets/d/1QqKyyYR6Q21VydFLVH3TRQUabQu_ym0Zz7PgGX0-kHA/edit?usp=sharing"",""แผน!IC49"")"),18)</f>
        <v>18</v>
      </c>
      <c r="J699" s="892">
        <f ca="1">IFERROR(__xludf.DUMMYFUNCTION("IMPORTRANGE(""https://docs.google.com/spreadsheets/d/1XWAQStnk-4SwqDmLtmXYiTMKHgktTP8We1SCoS47DrQ/edit?usp=sharing"",""จัดที่ดิน!BB49"")"),0)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IFERROR(__xludf.DUMMYFUNCTION("IMPORTRANGE(""https://docs.google.com/spreadsheets/d/1QqKyyYR6Q21VydFLVH3TRQUabQu_ym0Zz7PgGX0-kHA/edit?usp=sharing"",""แผน!ID49"")"),0)</f>
        <v>0</v>
      </c>
      <c r="J700" s="892">
        <f ca="1">IFERROR(__xludf.DUMMYFUNCTION("IMPORTRANGE(""https://docs.google.com/spreadsheets/d/1XWAQStnk-4SwqDmLtmXYiTMKHgktTP8We1SCoS47DrQ/edit?usp=sharing"",""จัดที่ดิน!BD49"")"),0)</f>
        <v>0</v>
      </c>
      <c r="K700" s="893">
        <f t="shared" ca="1" si="290"/>
        <v>0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IFERROR(__xludf.DUMMYFUNCTION("IMPORTRANGE(""https://docs.google.com/spreadsheets/d/1QqKyyYR6Q21VydFLVH3TRQUabQu_ym0Zz7PgGX0-kHA/edit?usp=sharing"",""แผน!IE49"")"),0)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IFERROR(__xludf.DUMMYFUNCTION("IMPORTRANGE(""https://docs.google.com/spreadsheets/d/1QqKyyYR6Q21VydFLVH3TRQUabQu_ym0Zz7PgGX0-kHA/edit?usp=sharing"",""แผน!IF49"")"),0)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IFERROR(__xludf.DUMMYFUNCTION("IMPORTRANGE(""https://docs.google.com/spreadsheets/d/1QqKyyYR6Q21VydFLVH3TRQUabQu_ym0Zz7PgGX0-kHA/edit?usp=sharing"",""แผน!IG49"")"),0)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IFERROR(__xludf.DUMMYFUNCTION("IMPORTRANGE(""https://docs.google.com/spreadsheets/d/1QqKyyYR6Q21VydFLVH3TRQUabQu_ym0Zz7PgGX0-kHA/edit?usp=sharing"",""แผน!IH49"")"),7)</f>
        <v>7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IFERROR(__xludf.DUMMYFUNCTION("IMPORTRANGE(""https://docs.google.com/spreadsheets/d/1XWAQStnk-4SwqDmLtmXYiTMKHgktTP8We1SCoS47DrQ/edit?usp=sharing"",""จัดที่ดิน!BF49"")"),0)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IFERROR(__xludf.DUMMYFUNCTION("IMPORTRANGE(""https://docs.google.com/spreadsheets/d/1XWAQStnk-4SwqDmLtmXYiTMKHgktTP8We1SCoS47DrQ/edit?usp=sharing"",""จัดที่ดิน!BG49"")"),0)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IFERROR(__xludf.DUMMYFUNCTION("IMPORTRANGE(""https://docs.google.com/spreadsheets/d/1QqKyyYR6Q21VydFLVH3TRQUabQu_ym0Zz7PgGX0-kHA/edit?usp=sharing"",""แผน!II49"")"),0)</f>
        <v>0</v>
      </c>
      <c r="J720" s="892">
        <f ca="1">IFERROR(__xludf.DUMMYFUNCTION("IMPORTRANGE(""https://docs.google.com/spreadsheets/d/1XWAQStnk-4SwqDmLtmXYiTMKHgktTP8We1SCoS47DrQ/edit?usp=sharing"",""จัดที่ดิน!BH49"")"),0)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IFERROR(__xludf.DUMMYFUNCTION("IMPORTRANGE(""https://docs.google.com/spreadsheets/d/1QqKyyYR6Q21VydFLVH3TRQUabQu_ym0Zz7PgGX0-kHA/edit?usp=sharing"",""แผน!IJ49"")"),0)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IFERROR(__xludf.DUMMYFUNCTION("IMPORTRANGE(""https://docs.google.com/spreadsheets/d/1QqKyyYR6Q21VydFLVH3TRQUabQu_ym0Zz7PgGX0-kHA/edit?usp=sharing"",""แผน!IK49"")"),0)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IFERROR(__xludf.DUMMYFUNCTION("IMPORTRANGE(""https://docs.google.com/spreadsheets/d/1QqKyyYR6Q21VydFLVH3TRQUabQu_ym0Zz7PgGX0-kHA/edit?usp=sharing"",""แผน!IL49"")"),0)</f>
        <v>0</v>
      </c>
      <c r="J723" s="892">
        <f ca="1">IFERROR(__xludf.DUMMYFUNCTION("IMPORTRANGE(""https://docs.google.com/spreadsheets/d/1XWAQStnk-4SwqDmLtmXYiTMKHgktTP8We1SCoS47DrQ/edit?usp=sharing"",""จัดที่ดิน!BM49"")"),0)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IFERROR(__xludf.DUMMYFUNCTION("IMPORTRANGE(""https://docs.google.com/spreadsheets/d/1XWAQStnk-4SwqDmLtmXYiTMKHgktTP8We1SCoS47DrQ/edit?usp=sharing"",""จัดที่ดิน!BN49"")"),0)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IFERROR(__xludf.DUMMYFUNCTION("IMPORTRANGE(""https://docs.google.com/spreadsheets/d/1QqKyyYR6Q21VydFLVH3TRQUabQu_ym0Zz7PgGX0-kHA/edit?usp=sharing"",""แผน!IM49"")"),0)</f>
        <v>0</v>
      </c>
      <c r="J725" s="892">
        <f ca="1">IFERROR(__xludf.DUMMYFUNCTION("IMPORTRANGE(""https://docs.google.com/spreadsheets/d/1XWAQStnk-4SwqDmLtmXYiTMKHgktTP8We1SCoS47DrQ/edit?usp=sharing"",""จัดที่ดิน!BO49"")"),0)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IFERROR(__xludf.DUMMYFUNCTION("IMPORTRANGE(""https://docs.google.com/spreadsheets/d/1QqKyyYR6Q21VydFLVH3TRQUabQu_ym0Zz7PgGX0-kHA/edit?usp=sharing"",""แผน!IN49"")"),0)</f>
        <v>0</v>
      </c>
      <c r="J726" s="892">
        <f ca="1">IFERROR(__xludf.DUMMYFUNCTION("IMPORTRANGE(""https://docs.google.com/spreadsheets/d/1XWAQStnk-4SwqDmLtmXYiTMKHgktTP8We1SCoS47DrQ/edit?usp=sharing"",""จัดที่ดิน!BR49"")"),0)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IFERROR(__xludf.DUMMYFUNCTION("IMPORTRANGE(""https://docs.google.com/spreadsheets/d/1XWAQStnk-4SwqDmLtmXYiTMKHgktTP8We1SCoS47DrQ/edit?usp=sharing"",""จัดที่ดิน!BS49"")"),0)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IFERROR(__xludf.DUMMYFUNCTION("IMPORTRANGE(""https://docs.google.com/spreadsheets/d/1QqKyyYR6Q21VydFLVH3TRQUabQu_ym0Zz7PgGX0-kHA/edit?usp=sharing"",""แผน!IO49"")"),0)</f>
        <v>0</v>
      </c>
      <c r="J728" s="892">
        <f ca="1">IFERROR(__xludf.DUMMYFUNCTION("IMPORTRANGE(""https://docs.google.com/spreadsheets/d/1XWAQStnk-4SwqDmLtmXYiTMKHgktTP8We1SCoS47DrQ/edit?usp=sharing"",""จัดที่ดิน!BT49"")"),0)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IFERROR(__xludf.DUMMYFUNCTION("IMPORTRANGE(""https://docs.google.com/spreadsheets/d/1QqKyyYR6Q21VydFLVH3TRQUabQu_ym0Zz7PgGX0-kHA/edit?usp=sharing"",""แผน!IP49"")"),0)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IFERROR(__xludf.DUMMYFUNCTION("IMPORTRANGE(""https://docs.google.com/spreadsheets/d/1QqKyyYR6Q21VydFLVH3TRQUabQu_ym0Zz7PgGX0-kHA/edit?usp=sharing"",""แผน!JJ49"")"),0)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IFERROR(__xludf.DUMMYFUNCTION("IMPORTRANGE(""https://docs.google.com/spreadsheets/d/1QqKyyYR6Q21VydFLVH3TRQUabQu_ym0Zz7PgGX0-kHA/edit?usp=sharing"",""แผน!JN49"")"),0)</f>
        <v>0</v>
      </c>
      <c r="J800" s="1009">
        <f ca="1">IFERROR(__xludf.DUMMYFUNCTION("IMPORTRANGE(""https://docs.google.com/spreadsheets/d/1MaWodYyGHDf7siQLGxnXhG4mBNTNIuy296niS2xXulU/edit?usp=sharing"",""RTK!H49"")"),0)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IFERROR(__xludf.DUMMYFUNCTION("IMPORTRANGE(""https://docs.google.com/spreadsheets/d/1MaWodYyGHDf7siQLGxnXhG4mBNTNIuy296niS2xXulU/edit?usp=sharing"",""RTK!I49"")"),0)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892">
        <f ca="1">IFERROR(__xludf.DUMMYFUNCTION("IMPORTRANGE(""https://docs.google.com/spreadsheets/d/19vJNZY_5yjcGF2XGBMNZRCAIB0Kwfpjp8YEOfu-bneM/edit?usp=sharing"",""งานกองทุน!F49"")"),3298641.58)</f>
        <v>3298641.58</v>
      </c>
      <c r="K821" s="893">
        <f t="shared" ref="K821:K828" ca="1" si="335">IF(I821&gt;0,J821*100/I821,0)</f>
        <v>69.828343388144404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IFERROR(__xludf.DUMMYFUNCTION("IMPORTRANGE(""https://docs.google.com/spreadsheets/d/19vJNZY_5yjcGF2XGBMNZRCAIB0Kwfpjp8YEOfu-bneM/edit?usp=sharing"",""งานกองทุน!C49"")"),416)</f>
        <v>416</v>
      </c>
      <c r="J822" s="892">
        <f ca="1">IFERROR(__xludf.DUMMYFUNCTION("IMPORTRANGE(""https://docs.google.com/spreadsheets/d/19vJNZY_5yjcGF2XGBMNZRCAIB0Kwfpjp8YEOfu-bneM/edit?usp=sharing"",""งานกองทุน!E49"")"),258)</f>
        <v>258</v>
      </c>
      <c r="K822" s="893">
        <f t="shared" ca="1" si="335"/>
        <v>62.019230769230766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892">
        <f ca="1">IFERROR(__xludf.DUMMYFUNCTION("IMPORTRANGE(""https://docs.google.com/spreadsheets/d/19vJNZY_5yjcGF2XGBMNZRCAIB0Kwfpjp8YEOfu-bneM/edit?usp=sharing"",""งานกองทุน!K49"")"),256387.61)</f>
        <v>256387.61</v>
      </c>
      <c r="K823" s="893">
        <f t="shared" ca="1" si="335"/>
        <v>7.7087962517804911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IFERROR(__xludf.DUMMYFUNCTION("IMPORTRANGE(""https://docs.google.com/spreadsheets/d/19vJNZY_5yjcGF2XGBMNZRCAIB0Kwfpjp8YEOfu-bneM/edit?usp=sharing"",""งานกองทุน!H49"")"),192)</f>
        <v>192</v>
      </c>
      <c r="J824" s="892">
        <f ca="1">IFERROR(__xludf.DUMMYFUNCTION("IMPORTRANGE(""https://docs.google.com/spreadsheets/d/19vJNZY_5yjcGF2XGBMNZRCAIB0Kwfpjp8YEOfu-bneM/edit?usp=sharing"",""งานกองทุน!J49"")"),69)</f>
        <v>69</v>
      </c>
      <c r="K824" s="893">
        <f t="shared" ca="1" si="335"/>
        <v>35.9375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IFERROR(__xludf.DUMMYFUNCTION("IMPORTRANGE(""https://docs.google.com/spreadsheets/d/19vJNZY_5yjcGF2XGBMNZRCAIB0Kwfpjp8YEOfu-bneM/edit?usp=sharing"",""งานกองทุน!N49"")"),0)</f>
        <v>0</v>
      </c>
      <c r="J825" s="892">
        <f ca="1">IFERROR(__xludf.DUMMYFUNCTION("IMPORTRANGE(""https://docs.google.com/spreadsheets/d/19vJNZY_5yjcGF2XGBMNZRCAIB0Kwfpjp8YEOfu-bneM/edit?usp=sharing"",""งานกองทุน!P49"")"),20827.48)</f>
        <v>20827.48</v>
      </c>
      <c r="K825" s="893">
        <f t="shared" ca="1" si="335"/>
        <v>0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IFERROR(__xludf.DUMMYFUNCTION("IMPORTRANGE(""https://docs.google.com/spreadsheets/d/19vJNZY_5yjcGF2XGBMNZRCAIB0Kwfpjp8YEOfu-bneM/edit?usp=sharing"",""งานกองทุน!M49"")"),0)</f>
        <v>0</v>
      </c>
      <c r="J826" s="892">
        <f ca="1">IFERROR(__xludf.DUMMYFUNCTION("IMPORTRANGE(""https://docs.google.com/spreadsheets/d/19vJNZY_5yjcGF2XGBMNZRCAIB0Kwfpjp8YEOfu-bneM/edit?usp=sharing"",""งานกองทุน!O49"")"),8)</f>
        <v>8</v>
      </c>
      <c r="K826" s="893">
        <f t="shared" ca="1" si="335"/>
        <v>0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IFERROR(__xludf.DUMMYFUNCTION("IMPORTRANGE(""https://docs.google.com/spreadsheets/d/19vJNZY_5yjcGF2XGBMNZRCAIB0Kwfpjp8YEOfu-bneM/edit?usp=sharing"",""งานกองทุน!S49"")"),5000000)</f>
        <v>5000000</v>
      </c>
      <c r="J827" s="892">
        <f ca="1">IFERROR(__xludf.DUMMYFUNCTION("IMPORTRANGE(""https://docs.google.com/spreadsheets/d/19vJNZY_5yjcGF2XGBMNZRCAIB0Kwfpjp8YEOfu-bneM/edit?usp=sharing"",""งานกองทุน!U49"")"),5000000)</f>
        <v>5000000</v>
      </c>
      <c r="K827" s="893">
        <f t="shared" ca="1" si="335"/>
        <v>100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IFERROR(__xludf.DUMMYFUNCTION("IMPORTRANGE(""https://docs.google.com/spreadsheets/d/19vJNZY_5yjcGF2XGBMNZRCAIB0Kwfpjp8YEOfu-bneM/edit?usp=sharing"",""งานกองทุน!R49"")"),185)</f>
        <v>185</v>
      </c>
      <c r="J828" s="1149">
        <f ca="1">IFERROR(__xludf.DUMMYFUNCTION("IMPORTRANGE(""https://docs.google.com/spreadsheets/d/19vJNZY_5yjcGF2XGBMNZRCAIB0Kwfpjp8YEOfu-bneM/edit?usp=sharing"",""งานกองทุน!T49"")"),160)</f>
        <v>160</v>
      </c>
      <c r="K828" s="1251">
        <f t="shared" ca="1" si="335"/>
        <v>86.486486486486484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13F6-58B2-4481-998E-A029DF2869CA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9925392</v>
      </c>
      <c r="M8" s="879">
        <f t="shared" ca="1" si="0"/>
        <v>8975960</v>
      </c>
      <c r="N8" s="879">
        <f t="shared" ca="1" si="0"/>
        <v>5887156.8199999994</v>
      </c>
      <c r="O8" s="879">
        <f t="shared" ref="O8:O16" ca="1" si="1">IF(L8&gt;0,N8*100/L8,0)</f>
        <v>59.314098828539962</v>
      </c>
      <c r="P8" s="879">
        <f t="shared" ref="P8:P16" ca="1" si="2">IF(M8&gt;0,N8*100/M8,0)</f>
        <v>65.588046515358783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9925392</v>
      </c>
      <c r="M10" s="886">
        <f t="shared" ca="1" si="3"/>
        <v>8975960</v>
      </c>
      <c r="N10" s="886">
        <f t="shared" ca="1" si="3"/>
        <v>5887156.8199999994</v>
      </c>
      <c r="O10" s="886">
        <f t="shared" ca="1" si="1"/>
        <v>59.314098828539962</v>
      </c>
      <c r="P10" s="886">
        <f t="shared" ca="1" si="2"/>
        <v>65.588046515358783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9751992</v>
      </c>
      <c r="M11" s="893">
        <f t="shared" ca="1" si="4"/>
        <v>8802560</v>
      </c>
      <c r="N11" s="893">
        <f t="shared" ca="1" si="4"/>
        <v>5713756.8199999994</v>
      </c>
      <c r="O11" s="893">
        <f t="shared" ca="1" si="1"/>
        <v>58.59066352802585</v>
      </c>
      <c r="P11" s="893">
        <f t="shared" ca="1" si="2"/>
        <v>64.910171813654202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9751992</v>
      </c>
      <c r="M13" s="899">
        <f t="shared" ca="1" si="5"/>
        <v>8802560</v>
      </c>
      <c r="N13" s="899">
        <f t="shared" ca="1" si="5"/>
        <v>5713756.8199999994</v>
      </c>
      <c r="O13" s="899">
        <f t="shared" ca="1" si="1"/>
        <v>58.59066352802585</v>
      </c>
      <c r="P13" s="899">
        <f t="shared" ca="1" si="2"/>
        <v>64.910171813654202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173400</v>
      </c>
      <c r="M14" s="893">
        <f t="shared" ca="1" si="6"/>
        <v>173400</v>
      </c>
      <c r="N14" s="893">
        <f t="shared" ca="1" si="6"/>
        <v>173400</v>
      </c>
      <c r="O14" s="893">
        <f t="shared" ca="1" si="1"/>
        <v>100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173400</v>
      </c>
      <c r="M16" s="905">
        <f t="shared" ca="1" si="7"/>
        <v>173400</v>
      </c>
      <c r="N16" s="905">
        <f t="shared" ca="1" si="7"/>
        <v>173400</v>
      </c>
      <c r="O16" s="905">
        <f t="shared" ca="1" si="1"/>
        <v>100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5968467</v>
      </c>
      <c r="M18" s="879">
        <f t="shared" ca="1" si="8"/>
        <v>5019035</v>
      </c>
      <c r="N18" s="879">
        <f t="shared" ca="1" si="8"/>
        <v>3652838.7699999996</v>
      </c>
      <c r="O18" s="879">
        <f t="shared" ref="O18:O26" ca="1" si="9">IF(L18&gt;0,N18*100/L18,0)</f>
        <v>61.202294827130643</v>
      </c>
      <c r="P18" s="879">
        <f t="shared" ref="P18:P26" ca="1" si="10">IF(M18&gt;0,N18*100/M18,0)</f>
        <v>72.779703070410932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5968467</v>
      </c>
      <c r="M20" s="886">
        <f t="shared" ca="1" si="11"/>
        <v>5019035</v>
      </c>
      <c r="N20" s="886">
        <f t="shared" ca="1" si="11"/>
        <v>3652838.7699999996</v>
      </c>
      <c r="O20" s="886">
        <f t="shared" ca="1" si="9"/>
        <v>61.202294827130643</v>
      </c>
      <c r="P20" s="886">
        <f t="shared" ca="1" si="10"/>
        <v>72.779703070410932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5795067</v>
      </c>
      <c r="M21" s="893">
        <f t="shared" ca="1" si="12"/>
        <v>4845635</v>
      </c>
      <c r="N21" s="893">
        <f t="shared" ca="1" si="12"/>
        <v>3479438.7699999996</v>
      </c>
      <c r="O21" s="893">
        <f t="shared" ca="1" si="9"/>
        <v>60.041389857960219</v>
      </c>
      <c r="P21" s="893">
        <f t="shared" ca="1" si="10"/>
        <v>71.805630634581419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5795067</v>
      </c>
      <c r="M23" s="899">
        <f t="shared" ca="1" si="13"/>
        <v>4845635</v>
      </c>
      <c r="N23" s="899">
        <f t="shared" ca="1" si="13"/>
        <v>3479438.7699999996</v>
      </c>
      <c r="O23" s="899">
        <f t="shared" ca="1" si="9"/>
        <v>60.041389857960219</v>
      </c>
      <c r="P23" s="899">
        <f t="shared" ca="1" si="10"/>
        <v>71.805630634581419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173400</v>
      </c>
      <c r="M24" s="893">
        <f t="shared" ca="1" si="14"/>
        <v>173400</v>
      </c>
      <c r="N24" s="893">
        <f t="shared" ca="1" si="14"/>
        <v>173400</v>
      </c>
      <c r="O24" s="893">
        <f t="shared" ca="1" si="9"/>
        <v>100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173400</v>
      </c>
      <c r="M26" s="905">
        <f t="shared" ca="1" si="15"/>
        <v>173400</v>
      </c>
      <c r="N26" s="905">
        <f t="shared" ca="1" si="15"/>
        <v>173400</v>
      </c>
      <c r="O26" s="905">
        <f t="shared" ca="1" si="9"/>
        <v>100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3956925</v>
      </c>
      <c r="M28" s="879">
        <f t="shared" ca="1" si="16"/>
        <v>3956925</v>
      </c>
      <c r="N28" s="879">
        <f t="shared" si="16"/>
        <v>2234318.0499999998</v>
      </c>
      <c r="O28" s="879">
        <f t="shared" ref="O28:O37" ca="1" si="17">IF(L28&gt;0,N28*100/L28,0)</f>
        <v>56.466019699640498</v>
      </c>
      <c r="P28" s="879">
        <f t="shared" ref="P28:P37" ca="1" si="18">IF(M28&gt;0,N28*100/M28,0)</f>
        <v>56.466019699640498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3956925</v>
      </c>
      <c r="M30" s="886">
        <f t="shared" ca="1" si="19"/>
        <v>3956925</v>
      </c>
      <c r="N30" s="886">
        <f t="shared" si="19"/>
        <v>2234318.0499999998</v>
      </c>
      <c r="O30" s="886">
        <f t="shared" ca="1" si="17"/>
        <v>56.466019699640498</v>
      </c>
      <c r="P30" s="886">
        <f t="shared" ca="1" si="18"/>
        <v>56.466019699640498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3956925</v>
      </c>
      <c r="M31" s="893">
        <f t="shared" ca="1" si="20"/>
        <v>3956925</v>
      </c>
      <c r="N31" s="893">
        <f t="shared" si="20"/>
        <v>2234318.0499999998</v>
      </c>
      <c r="O31" s="893">
        <f t="shared" ca="1" si="17"/>
        <v>56.466019699640498</v>
      </c>
      <c r="P31" s="893">
        <f t="shared" ca="1" si="18"/>
        <v>56.466019699640498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3956925</v>
      </c>
      <c r="M33" s="899">
        <f t="shared" ca="1" si="21"/>
        <v>3956925</v>
      </c>
      <c r="N33" s="899">
        <f t="shared" si="21"/>
        <v>2234318.0499999998</v>
      </c>
      <c r="O33" s="899">
        <f t="shared" ca="1" si="17"/>
        <v>56.466019699640498</v>
      </c>
      <c r="P33" s="899">
        <f t="shared" ca="1" si="18"/>
        <v>56.466019699640498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5968467</v>
      </c>
      <c r="M37" s="912">
        <f t="shared" ca="1" si="24"/>
        <v>5019035</v>
      </c>
      <c r="N37" s="912">
        <f t="shared" ca="1" si="24"/>
        <v>3652838.7699999996</v>
      </c>
      <c r="O37" s="912">
        <f t="shared" ca="1" si="17"/>
        <v>61.202294827130643</v>
      </c>
      <c r="P37" s="912">
        <f t="shared" ca="1" si="18"/>
        <v>72.779703070410932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690742</v>
      </c>
      <c r="M41" s="938">
        <f t="shared" ca="1" si="25"/>
        <v>716643</v>
      </c>
      <c r="N41" s="938">
        <f t="shared" ca="1" si="25"/>
        <v>404382</v>
      </c>
      <c r="O41" s="938">
        <f t="shared" ref="O41:O49" ca="1" si="26">IF(L41&gt;0,N41*100/L41,0)</f>
        <v>58.543131878472714</v>
      </c>
      <c r="P41" s="938">
        <f t="shared" ref="P41:P49" ca="1" si="27">IF(M41&gt;0,N41*100/M41,0)</f>
        <v>56.427258760638139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690742</v>
      </c>
      <c r="M43" s="944">
        <f t="shared" ca="1" si="28"/>
        <v>716643</v>
      </c>
      <c r="N43" s="944">
        <f t="shared" ca="1" si="28"/>
        <v>404382</v>
      </c>
      <c r="O43" s="944">
        <f t="shared" ca="1" si="26"/>
        <v>58.543131878472714</v>
      </c>
      <c r="P43" s="944">
        <f t="shared" ca="1" si="27"/>
        <v>56.427258760638139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690742</v>
      </c>
      <c r="M44" s="893">
        <f t="shared" ca="1" si="29"/>
        <v>716643</v>
      </c>
      <c r="N44" s="893">
        <f t="shared" ca="1" si="29"/>
        <v>404382</v>
      </c>
      <c r="O44" s="893">
        <f t="shared" ca="1" si="26"/>
        <v>58.543131878472714</v>
      </c>
      <c r="P44" s="893">
        <f t="shared" ca="1" si="27"/>
        <v>56.427258760638139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IFERROR(__xludf.DUMMYFUNCTION("IMPORTRANGE(""https://docs.google.com/spreadsheets/d/1MeEWN-I1oV_STSDYn1IFDPWt_1FKiwhDph83XaGc0o0/edit?usp=sharing"",""งบพรบ!M50"")"),690742)</f>
        <v>690742</v>
      </c>
      <c r="M46" s="899">
        <f ca="1">IFERROR(__xludf.DUMMYFUNCTION("IMPORTRANGE(""https://docs.google.com/spreadsheets/d/1MeEWN-I1oV_STSDYn1IFDPWt_1FKiwhDph83XaGc0o0/edit?usp=sharing"",""งบพรบ!R50"")"),716643)</f>
        <v>716643</v>
      </c>
      <c r="N46" s="899">
        <f ca="1">IFERROR(__xludf.DUMMYFUNCTION("IMPORTRANGE(""https://docs.google.com/spreadsheets/d/1MeEWN-I1oV_STSDYn1IFDPWt_1FKiwhDph83XaGc0o0/edit?usp=sharing"",""งบพรบ!T50"")"),404382)</f>
        <v>404382</v>
      </c>
      <c r="O46" s="899">
        <f t="shared" ca="1" si="26"/>
        <v>58.543131878472714</v>
      </c>
      <c r="P46" s="899">
        <f t="shared" ca="1" si="27"/>
        <v>56.427258760638139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IFERROR(__xludf.DUMMYFUNCTION("IMPORTRANGE(""https://docs.google.com/spreadsheets/d/1MeEWN-I1oV_STSDYn1IFDPWt_1FKiwhDph83XaGc0o0/edit?usp=sharing"",""งบพรบ!P50"")"),0)</f>
        <v>0</v>
      </c>
      <c r="M49" s="905">
        <f ca="1">IFERROR(__xludf.DUMMYFUNCTION("IMPORTRANGE(""https://docs.google.com/spreadsheets/d/1MeEWN-I1oV_STSDYn1IFDPWt_1FKiwhDph83XaGc0o0/edit?usp=sharing"",""งบพรบ!S50"")"),0)</f>
        <v>0</v>
      </c>
      <c r="N49" s="905">
        <f ca="1">IFERROR(__xludf.DUMMYFUNCTION("IMPORTRANGE(""https://docs.google.com/spreadsheets/d/1MeEWN-I1oV_STSDYn1IFDPWt_1FKiwhDph83XaGc0o0/edit?usp=sharing"",""งบพรบ!U50"")"),0)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850300</v>
      </c>
      <c r="M53" s="968">
        <f t="shared" ca="1" si="31"/>
        <v>637725</v>
      </c>
      <c r="N53" s="968">
        <f t="shared" ca="1" si="31"/>
        <v>498925.19</v>
      </c>
      <c r="O53" s="968">
        <f t="shared" ref="O53:O61" ca="1" si="32">IF(L53&gt;0,N53*100/L53,0)</f>
        <v>58.676371868752206</v>
      </c>
      <c r="P53" s="968">
        <f t="shared" ref="P53:P61" ca="1" si="33">IF(M53&gt;0,N53*100/M53,0)</f>
        <v>78.235162491669612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850300</v>
      </c>
      <c r="M55" s="974">
        <f t="shared" ca="1" si="34"/>
        <v>637725</v>
      </c>
      <c r="N55" s="974">
        <f t="shared" ca="1" si="34"/>
        <v>498925.19</v>
      </c>
      <c r="O55" s="974">
        <f t="shared" ca="1" si="32"/>
        <v>58.676371868752206</v>
      </c>
      <c r="P55" s="974">
        <f t="shared" ca="1" si="33"/>
        <v>78.235162491669612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850300</v>
      </c>
      <c r="M56" s="893">
        <f t="shared" ca="1" si="35"/>
        <v>637725</v>
      </c>
      <c r="N56" s="893">
        <f t="shared" ca="1" si="35"/>
        <v>498925.19</v>
      </c>
      <c r="O56" s="893">
        <f t="shared" ca="1" si="32"/>
        <v>58.676371868752206</v>
      </c>
      <c r="P56" s="893">
        <f t="shared" ca="1" si="33"/>
        <v>78.235162491669612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IFERROR(__xludf.DUMMYFUNCTION("IMPORTRANGE(""https://docs.google.com/spreadsheets/d/1MeEWN-I1oV_STSDYn1IFDPWt_1FKiwhDph83XaGc0o0/edit?usp=sharing"",""งบพรบ!W50"")"),850300)</f>
        <v>850300</v>
      </c>
      <c r="M58" s="899">
        <f ca="1">IFERROR(__xludf.DUMMYFUNCTION("IMPORTRANGE(""https://docs.google.com/spreadsheets/d/1MeEWN-I1oV_STSDYn1IFDPWt_1FKiwhDph83XaGc0o0/edit?usp=sharing"",""งบพรบ!AB50"")"),637725)</f>
        <v>637725</v>
      </c>
      <c r="N58" s="899">
        <f ca="1">IFERROR(__xludf.DUMMYFUNCTION("IMPORTRANGE(""https://docs.google.com/spreadsheets/d/1MeEWN-I1oV_STSDYn1IFDPWt_1FKiwhDph83XaGc0o0/edit?usp=sharing"",""งบพรบ!AD50"")"),498925.19)</f>
        <v>498925.19</v>
      </c>
      <c r="O58" s="899">
        <f t="shared" ca="1" si="32"/>
        <v>58.676371868752206</v>
      </c>
      <c r="P58" s="899">
        <f t="shared" ca="1" si="33"/>
        <v>78.235162491669612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0</v>
      </c>
      <c r="M59" s="893">
        <f t="shared" ca="1" si="36"/>
        <v>0</v>
      </c>
      <c r="N59" s="893">
        <f t="shared" ca="1" si="36"/>
        <v>0</v>
      </c>
      <c r="O59" s="893">
        <f t="shared" ca="1" si="32"/>
        <v>0</v>
      </c>
      <c r="P59" s="893">
        <f t="shared" ca="1" si="33"/>
        <v>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IFERROR(__xludf.DUMMYFUNCTION("IMPORTRANGE(""https://docs.google.com/spreadsheets/d/1MeEWN-I1oV_STSDYn1IFDPWt_1FKiwhDph83XaGc0o0/edit?usp=sharing"",""งบพรบ!Z50"")"),0)</f>
        <v>0</v>
      </c>
      <c r="M61" s="905">
        <f ca="1">IFERROR(__xludf.DUMMYFUNCTION("IMPORTRANGE(""https://docs.google.com/spreadsheets/d/1MeEWN-I1oV_STSDYn1IFDPWt_1FKiwhDph83XaGc0o0/edit?usp=sharing"",""งบพรบ!AC50"")"),0)</f>
        <v>0</v>
      </c>
      <c r="N61" s="905">
        <f ca="1">IFERROR(__xludf.DUMMYFUNCTION("IMPORTRANGE(""https://docs.google.com/spreadsheets/d/1MeEWN-I1oV_STSDYn1IFDPWt_1FKiwhDph83XaGc0o0/edit?usp=sharing"",""งบพรบ!AE50"")"),0)</f>
        <v>0</v>
      </c>
      <c r="O61" s="905">
        <f t="shared" ca="1" si="32"/>
        <v>0</v>
      </c>
      <c r="P61" s="905">
        <f t="shared" ca="1" si="33"/>
        <v>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70</v>
      </c>
      <c r="J65" s="994">
        <f t="shared" si="37"/>
        <v>70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1079500</v>
      </c>
      <c r="M66" s="1004">
        <f t="shared" ca="1" si="39"/>
        <v>856180</v>
      </c>
      <c r="N66" s="1004">
        <f t="shared" ca="1" si="39"/>
        <v>694410.44</v>
      </c>
      <c r="O66" s="1004">
        <f t="shared" ref="O66:O74" ca="1" si="40">IF(L66&gt;0,N66*100/L66,0)</f>
        <v>64.327044001852713</v>
      </c>
      <c r="P66" s="1004">
        <f t="shared" ref="P66:P74" ca="1" si="41">IF(M66&gt;0,N66*100/M66,0)</f>
        <v>81.10566002476115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1079500</v>
      </c>
      <c r="M68" s="899">
        <f t="shared" ca="1" si="42"/>
        <v>856180</v>
      </c>
      <c r="N68" s="899">
        <f t="shared" ca="1" si="42"/>
        <v>694410.44</v>
      </c>
      <c r="O68" s="899">
        <f t="shared" ca="1" si="40"/>
        <v>64.327044001852713</v>
      </c>
      <c r="P68" s="899">
        <f t="shared" ca="1" si="41"/>
        <v>81.10566002476115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1079500</v>
      </c>
      <c r="M69" s="893">
        <f t="shared" ca="1" si="43"/>
        <v>856180</v>
      </c>
      <c r="N69" s="893">
        <f t="shared" ca="1" si="43"/>
        <v>694410.44</v>
      </c>
      <c r="O69" s="893">
        <f t="shared" ca="1" si="40"/>
        <v>64.327044001852713</v>
      </c>
      <c r="P69" s="893">
        <f t="shared" ca="1" si="41"/>
        <v>81.10566002476115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IFERROR(__xludf.DUMMYFUNCTION("IMPORTRANGE(""https://docs.google.com/spreadsheets/d/1MeEWN-I1oV_STSDYn1IFDPWt_1FKiwhDph83XaGc0o0/edit?usp=sharing"",""งบพรบ!AG50"")"),1079500)</f>
        <v>1079500</v>
      </c>
      <c r="M71" s="899">
        <f ca="1">IFERROR(__xludf.DUMMYFUNCTION("IMPORTRANGE(""https://docs.google.com/spreadsheets/d/1MeEWN-I1oV_STSDYn1IFDPWt_1FKiwhDph83XaGc0o0/edit?usp=sharing"",""งบพรบ!AL50"")"),856180)</f>
        <v>856180</v>
      </c>
      <c r="N71" s="899">
        <f ca="1">IFERROR(__xludf.DUMMYFUNCTION("IMPORTRANGE(""https://docs.google.com/spreadsheets/d/1MeEWN-I1oV_STSDYn1IFDPWt_1FKiwhDph83XaGc0o0/edit?usp=sharing"",""งบพรบ!AN50"")"),694410.44)</f>
        <v>694410.44</v>
      </c>
      <c r="O71" s="899">
        <f t="shared" ca="1" si="40"/>
        <v>64.327044001852713</v>
      </c>
      <c r="P71" s="899">
        <f t="shared" ca="1" si="41"/>
        <v>81.10566002476115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/>
      <c r="N73" s="899"/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IFERROR(__xludf.DUMMYFUNCTION("IMPORTRANGE(""https://docs.google.com/spreadsheets/d/1MeEWN-I1oV_STSDYn1IFDPWt_1FKiwhDph83XaGc0o0/edit?usp=sharing"",""งบพรบ!AJ50"")"),0)</f>
        <v>0</v>
      </c>
      <c r="M74" s="899">
        <f ca="1">IFERROR(__xludf.DUMMYFUNCTION("IMPORTRANGE(""https://docs.google.com/spreadsheets/d/1MeEWN-I1oV_STSDYn1IFDPWt_1FKiwhDph83XaGc0o0/edit?usp=sharing"",""งบพรบ!AM50"")"),0)</f>
        <v>0</v>
      </c>
      <c r="N74" s="899">
        <f ca="1">IFERROR(__xludf.DUMMYFUNCTION("IMPORTRANGE(""https://docs.google.com/spreadsheets/d/1MeEWN-I1oV_STSDYn1IFDPWt_1FKiwhDph83XaGc0o0/edit?usp=sharing"",""งบพรบ!AO50"")"),0)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70</v>
      </c>
      <c r="J77" s="892">
        <f t="shared" si="45"/>
        <v>70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IFERROR(__xludf.DUMMYFUNCTION("IMPORTRANGE(""https://docs.google.com/spreadsheets/d/1QqKyyYR6Q21VydFLVH3TRQUabQu_ym0Zz7PgGX0-kHA/edit?usp=sharing"",""แผน!H50"")"),0)</f>
        <v>0</v>
      </c>
      <c r="J78" s="1024">
        <v>0</v>
      </c>
      <c r="K78" s="1010">
        <f t="shared" ca="1" si="46"/>
        <v>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IFERROR(__xludf.DUMMYFUNCTION("IMPORTRANGE(""https://docs.google.com/spreadsheets/d/1QqKyyYR6Q21VydFLVH3TRQUabQu_ym0Zz7PgGX0-kHA/edit?usp=sharing"",""แผน!I50"")"),0)</f>
        <v>0</v>
      </c>
      <c r="J79" s="1024">
        <v>0</v>
      </c>
      <c r="K79" s="1010">
        <f t="shared" ca="1" si="46"/>
        <v>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IFERROR(__xludf.DUMMYFUNCTION("IMPORTRANGE(""https://docs.google.com/spreadsheets/d/1QqKyyYR6Q21VydFLVH3TRQUabQu_ym0Zz7PgGX0-kHA/edit?usp=sharing"",""แผน!F50"")"),1)</f>
        <v>1</v>
      </c>
      <c r="J80" s="1024">
        <v>1</v>
      </c>
      <c r="K80" s="1010">
        <f t="shared" ca="1" si="46"/>
        <v>100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IFERROR(__xludf.DUMMYFUNCTION("IMPORTRANGE(""https://docs.google.com/spreadsheets/d/1QqKyyYR6Q21VydFLVH3TRQUabQu_ym0Zz7PgGX0-kHA/edit?usp=sharing"",""แผน!G50"")"),70)</f>
        <v>70</v>
      </c>
      <c r="J81" s="1024">
        <v>70</v>
      </c>
      <c r="K81" s="1010">
        <f t="shared" ca="1" si="46"/>
        <v>100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IFERROR(__xludf.DUMMYFUNCTION("IMPORTRANGE(""https://docs.google.com/spreadsheets/d/1QqKyyYR6Q21VydFLVH3TRQUabQu_ym0Zz7PgGX0-kHA/edit?usp=sharing"",""แผน!D50"")"),0)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IFERROR(__xludf.DUMMYFUNCTION("IMPORTRANGE(""https://docs.google.com/spreadsheets/d/1QqKyyYR6Q21VydFLVH3TRQUabQu_ym0Zz7PgGX0-kHA/edit?usp=sharing"",""แผน!E50"")"),0)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IFERROR(__xludf.DUMMYFUNCTION("IMPORTRANGE(""https://docs.google.com/spreadsheets/d/1QqKyyYR6Q21VydFLVH3TRQUabQu_ym0Zz7PgGX0-kHA/edit?usp=sharing"",""แผน!J50"")"),1)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30</v>
      </c>
      <c r="J86" s="994">
        <f t="shared" si="47"/>
        <v>30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10</v>
      </c>
      <c r="J87" s="994">
        <f t="shared" si="47"/>
        <v>10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85840</v>
      </c>
      <c r="M88" s="1004">
        <f t="shared" ca="1" si="49"/>
        <v>79140</v>
      </c>
      <c r="N88" s="1004">
        <f t="shared" ca="1" si="49"/>
        <v>78196</v>
      </c>
      <c r="O88" s="1004">
        <f t="shared" ref="O88:O96" ca="1" si="50">IF(L88&gt;0,N88*100/L88,0)</f>
        <v>91.095060577819197</v>
      </c>
      <c r="P88" s="1004">
        <f t="shared" ref="P88:P96" ca="1" si="51">IF(M88&gt;0,N88*100/M88,0)</f>
        <v>98.807177154409914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85840</v>
      </c>
      <c r="M90" s="899">
        <f t="shared" ca="1" si="52"/>
        <v>79140</v>
      </c>
      <c r="N90" s="899">
        <f t="shared" ca="1" si="52"/>
        <v>78196</v>
      </c>
      <c r="O90" s="899">
        <f t="shared" ca="1" si="50"/>
        <v>91.095060577819197</v>
      </c>
      <c r="P90" s="899">
        <f t="shared" ca="1" si="51"/>
        <v>98.807177154409914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85840</v>
      </c>
      <c r="M91" s="893">
        <f t="shared" ca="1" si="53"/>
        <v>79140</v>
      </c>
      <c r="N91" s="893">
        <f t="shared" ca="1" si="53"/>
        <v>78196</v>
      </c>
      <c r="O91" s="893">
        <f t="shared" ca="1" si="50"/>
        <v>91.095060577819197</v>
      </c>
      <c r="P91" s="893">
        <f t="shared" ca="1" si="51"/>
        <v>98.807177154409914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IFERROR(__xludf.DUMMYFUNCTION("IMPORTRANGE(""https://docs.google.com/spreadsheets/d/1MeEWN-I1oV_STSDYn1IFDPWt_1FKiwhDph83XaGc0o0/edit?usp=sharing"",""งบพรบ!AQ50"")"),85840)</f>
        <v>85840</v>
      </c>
      <c r="M93" s="899">
        <f ca="1">IFERROR(__xludf.DUMMYFUNCTION("IMPORTRANGE(""https://docs.google.com/spreadsheets/d/1MeEWN-I1oV_STSDYn1IFDPWt_1FKiwhDph83XaGc0o0/edit?usp=sharing"",""งบพรบ!AV50"")"),79140)</f>
        <v>79140</v>
      </c>
      <c r="N93" s="899">
        <f ca="1">IFERROR(__xludf.DUMMYFUNCTION("IMPORTRANGE(""https://docs.google.com/spreadsheets/d/1MeEWN-I1oV_STSDYn1IFDPWt_1FKiwhDph83XaGc0o0/edit?usp=sharing"",""งบพรบ!AX50"")"),78196)</f>
        <v>78196</v>
      </c>
      <c r="O93" s="899">
        <f t="shared" ca="1" si="50"/>
        <v>91.095060577819197</v>
      </c>
      <c r="P93" s="899">
        <f t="shared" ca="1" si="51"/>
        <v>98.807177154409914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IFERROR(__xludf.DUMMYFUNCTION("IMPORTRANGE(""https://docs.google.com/spreadsheets/d/1MeEWN-I1oV_STSDYn1IFDPWt_1FKiwhDph83XaGc0o0/edit?usp=sharing"",""งบพรบ!AT50"")"),0)</f>
        <v>0</v>
      </c>
      <c r="M96" s="899">
        <f ca="1">IFERROR(__xludf.DUMMYFUNCTION("IMPORTRANGE(""https://docs.google.com/spreadsheets/d/1MeEWN-I1oV_STSDYn1IFDPWt_1FKiwhDph83XaGc0o0/edit?usp=sharing"",""งบพรบ!AW50"")"),0)</f>
        <v>0</v>
      </c>
      <c r="N96" s="899">
        <f ca="1">IFERROR(__xludf.DUMMYFUNCTION("IMPORTRANGE(""https://docs.google.com/spreadsheets/d/1MeEWN-I1oV_STSDYn1IFDPWt_1FKiwhDph83XaGc0o0/edit?usp=sharing"",""งบพรบ!AY50"")"),0)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IFERROR(__xludf.DUMMYFUNCTION("IMPORTRANGE(""https://docs.google.com/spreadsheets/d/1QqKyyYR6Q21VydFLVH3TRQUabQu_ym0Zz7PgGX0-kHA/edit?usp=sharing"",""แผน!K50"")"),30)</f>
        <v>30</v>
      </c>
      <c r="J98" s="892">
        <f>J102</f>
        <v>30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IFERROR(__xludf.DUMMYFUNCTION("IMPORTRANGE(""https://docs.google.com/spreadsheets/d/1QqKyyYR6Q21VydFLVH3TRQUabQu_ym0Zz7PgGX0-kHA/edit?usp=sharing"",""แผน!L50"")"),10)</f>
        <v>10</v>
      </c>
      <c r="J99" s="892">
        <f>J104</f>
        <v>10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IFERROR(__xludf.DUMMYFUNCTION("IMPORTRANGE(""https://docs.google.com/spreadsheets/d/1QqKyyYR6Q21VydFLVH3TRQUabQu_ym0Zz7PgGX0-kHA/edit?usp=sharing"",""แผน!M50"")"),2)</f>
        <v>2</v>
      </c>
      <c r="J100" s="892">
        <f>J107+J110</f>
        <v>2</v>
      </c>
      <c r="K100" s="893">
        <f t="shared" ca="1" si="55"/>
        <v>100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IFERROR(__xludf.DUMMYFUNCTION("IMPORTRANGE(""https://docs.google.com/spreadsheets/d/1QqKyyYR6Q21VydFLVH3TRQUabQu_ym0Zz7PgGX0-kHA/edit?usp=sharing"",""แผน!N50"")"),30)</f>
        <v>30</v>
      </c>
      <c r="J102" s="1024">
        <v>30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IFERROR(__xludf.DUMMYFUNCTION("IMPORTRANGE(""https://docs.google.com/spreadsheets/d/1QqKyyYR6Q21VydFLVH3TRQUabQu_ym0Zz7PgGX0-kHA/edit?usp=sharing"",""แผน!O50"")"),10)</f>
        <v>10</v>
      </c>
      <c r="J103" s="1024">
        <v>10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IFERROR(__xludf.DUMMYFUNCTION("IMPORTRANGE(""https://docs.google.com/spreadsheets/d/1QqKyyYR6Q21VydFLVH3TRQUabQu_ym0Zz7PgGX0-kHA/edit?usp=sharing"",""แผน!O50"")"),10)</f>
        <v>10</v>
      </c>
      <c r="J104" s="1024">
        <v>10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IFERROR(__xludf.DUMMYFUNCTION("IMPORTRANGE(""https://docs.google.com/spreadsheets/d/1QqKyyYR6Q21VydFLVH3TRQUabQu_ym0Zz7PgGX0-kHA/edit?usp=sharing"",""แผน!P50"")"),1)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IFERROR(__xludf.DUMMYFUNCTION("IMPORTRANGE(""https://docs.google.com/spreadsheets/d/1QqKyyYR6Q21VydFLVH3TRQUabQu_ym0Zz7PgGX0-kHA/edit?usp=sharing"",""แผน!P50"")"),1)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IFERROR(__xludf.DUMMYFUNCTION("IMPORTRANGE(""https://docs.google.com/spreadsheets/d/1QqKyyYR6Q21VydFLVH3TRQUabQu_ym0Zz7PgGX0-kHA/edit?usp=sharing"",""แผน!Q50"")"),1)</f>
        <v>1</v>
      </c>
      <c r="J109" s="1024">
        <v>1</v>
      </c>
      <c r="K109" s="893">
        <f t="shared" ref="K109:K116" ca="1" si="58">IF(I109&gt;0,J109*100/I109,0)</f>
        <v>100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IFERROR(__xludf.DUMMYFUNCTION("IMPORTRANGE(""https://docs.google.com/spreadsheets/d/1QqKyyYR6Q21VydFLVH3TRQUabQu_ym0Zz7PgGX0-kHA/edit?usp=sharing"",""แผน!Q50"")"),1)</f>
        <v>1</v>
      </c>
      <c r="J110" s="1024">
        <v>1</v>
      </c>
      <c r="K110" s="893">
        <f t="shared" ca="1" si="58"/>
        <v>100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IFERROR(__xludf.DUMMYFUNCTION("IMPORTRANGE(""https://docs.google.com/spreadsheets/d/1QqKyyYR6Q21VydFLVH3TRQUabQu_ym0Zz7PgGX0-kHA/edit?usp=sharing"",""แผน!R50"")"),10)</f>
        <v>10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IFERROR(__xludf.DUMMYFUNCTION("IMPORTRANGE(""https://docs.google.com/spreadsheets/d/1QqKyyYR6Q21VydFLVH3TRQUabQu_ym0Zz7PgGX0-kHA/edit?usp=sharing"",""แผน!R50"")"),10)</f>
        <v>10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IFERROR(__xludf.DUMMYFUNCTION("IMPORTRANGE(""https://docs.google.com/spreadsheets/d/1QqKyyYR6Q21VydFLVH3TRQUabQu_ym0Zz7PgGX0-kHA/edit?usp=sharing"",""แผน!R50"")"),10)</f>
        <v>10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IFERROR(__xludf.DUMMYFUNCTION("IMPORTRANGE(""https://docs.google.com/spreadsheets/d/1QqKyyYR6Q21VydFLVH3TRQUabQu_ym0Zz7PgGX0-kHA/edit?usp=sharing"",""แผน!S50"")"),1)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IFERROR(__xludf.DUMMYFUNCTION("IMPORTRANGE(""https://docs.google.com/spreadsheets/d/1QqKyyYR6Q21VydFLVH3TRQUabQu_ym0Zz7PgGX0-kHA/edit?usp=sharing"",""แผน!T50"")"),1)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IFERROR(__xludf.DUMMYFUNCTION("IMPORTRANGE(""https://docs.google.com/spreadsheets/d/1MeEWN-I1oV_STSDYn1IFDPWt_1FKiwhDph83XaGc0o0/edit?usp=sharing"",""งบพรบ!BA50"")"),0)</f>
        <v>0</v>
      </c>
      <c r="M124" s="899">
        <f ca="1">IFERROR(__xludf.DUMMYFUNCTION("IMPORTRANGE(""https://docs.google.com/spreadsheets/d/1MeEWN-I1oV_STSDYn1IFDPWt_1FKiwhDph83XaGc0o0/edit?usp=sharing"",""งบพรบ!BF50"")"),0)</f>
        <v>0</v>
      </c>
      <c r="N124" s="899">
        <f ca="1">IFERROR(__xludf.DUMMYFUNCTION("IMPORTRANGE(""https://docs.google.com/spreadsheets/d/1MeEWN-I1oV_STSDYn1IFDPWt_1FKiwhDph83XaGc0o0/edit?usp=sharing"",""งบพรบ!BH50"")"),0)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IFERROR(__xludf.DUMMYFUNCTION("IMPORTRANGE(""https://docs.google.com/spreadsheets/d/1MeEWN-I1oV_STSDYn1IFDPWt_1FKiwhDph83XaGc0o0/edit?usp=sharing"",""งบพรบ!BD50"")"),0)</f>
        <v>0</v>
      </c>
      <c r="M127" s="899">
        <f ca="1">IFERROR(__xludf.DUMMYFUNCTION("IMPORTRANGE(""https://docs.google.com/spreadsheets/d/1MeEWN-I1oV_STSDYn1IFDPWt_1FKiwhDph83XaGc0o0/edit?usp=sharing"",""งบพรบ!BG50"")"),0)</f>
        <v>0</v>
      </c>
      <c r="N127" s="899">
        <f ca="1">IFERROR(__xludf.DUMMYFUNCTION("IMPORTRANGE(""https://docs.google.com/spreadsheets/d/1MeEWN-I1oV_STSDYn1IFDPWt_1FKiwhDph83XaGc0o0/edit?usp=sharing"",""งบพรบ!BI50"")"),0)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IFERROR(__xludf.DUMMYFUNCTION("IMPORTRANGE(""https://docs.google.com/spreadsheets/d/1MeEWN-I1oV_STSDYn1IFDPWt_1FKiwhDph83XaGc0o0/edit?usp=sharing"",""งบพรบ!BK50"")"),0)</f>
        <v>0</v>
      </c>
      <c r="M137" s="899">
        <f ca="1">IFERROR(__xludf.DUMMYFUNCTION("IMPORTRANGE(""https://docs.google.com/spreadsheets/d/1MeEWN-I1oV_STSDYn1IFDPWt_1FKiwhDph83XaGc0o0/edit?usp=sharing"",""งบพรบ!BP50"")"),0)</f>
        <v>0</v>
      </c>
      <c r="N137" s="899">
        <f ca="1">IFERROR(__xludf.DUMMYFUNCTION("IMPORTRANGE(""https://docs.google.com/spreadsheets/d/1MeEWN-I1oV_STSDYn1IFDPWt_1FKiwhDph83XaGc0o0/edit?usp=sharing"",""งบพรบ!BR50"")"),0)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IFERROR(__xludf.DUMMYFUNCTION("IMPORTRANGE(""https://docs.google.com/spreadsheets/d/1MeEWN-I1oV_STSDYn1IFDPWt_1FKiwhDph83XaGc0o0/edit?usp=sharing"",""งบพรบ!BN50"")"),0)</f>
        <v>0</v>
      </c>
      <c r="M140" s="899">
        <f ca="1">IFERROR(__xludf.DUMMYFUNCTION("IMPORTRANGE(""https://docs.google.com/spreadsheets/d/1MeEWN-I1oV_STSDYn1IFDPWt_1FKiwhDph83XaGc0o0/edit?usp=sharing"",""งบพรบ!BQ50"")"),0)</f>
        <v>0</v>
      </c>
      <c r="N140" s="899">
        <f ca="1">IFERROR(__xludf.DUMMYFUNCTION("IMPORTRANGE(""https://docs.google.com/spreadsheets/d/1MeEWN-I1oV_STSDYn1IFDPWt_1FKiwhDph83XaGc0o0/edit?usp=sharing"",""งบพรบ!BS50"")"),0)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IFERROR(__xludf.DUMMYFUNCTION("IMPORTRANGE(""https://docs.google.com/spreadsheets/d/1QqKyyYR6Q21VydFLVH3TRQUabQu_ym0Zz7PgGX0-kHA/edit?usp=sharing"",""แผน!U50"")"),0)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IFERROR(__xludf.DUMMYFUNCTION("IMPORTRANGE(""https://docs.google.com/spreadsheets/d/1QqKyyYR6Q21VydFLVH3TRQUabQu_ym0Zz7PgGX0-kHA/edit?usp=sharing"",""แผน!V50"")"),0)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IFERROR(__xludf.DUMMYFUNCTION("IMPORTRANGE(""https://docs.google.com/spreadsheets/d/1QqKyyYR6Q21VydFLVH3TRQUabQu_ym0Zz7PgGX0-kHA/edit?usp=sharing"",""แผน!W50"")"),0)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20</v>
      </c>
      <c r="J148" s="994">
        <f t="shared" si="76"/>
        <v>20</v>
      </c>
      <c r="K148" s="995">
        <f ca="1">IF(I148&gt;0,J148*100/I148,0)</f>
        <v>100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10000</v>
      </c>
      <c r="M149" s="1004">
        <f t="shared" ca="1" si="77"/>
        <v>23460</v>
      </c>
      <c r="N149" s="1004">
        <f t="shared" ca="1" si="77"/>
        <v>15770</v>
      </c>
      <c r="O149" s="1004">
        <f t="shared" ref="O149:O157" ca="1" si="78">IF(L149&gt;0,N149*100/L149,0)</f>
        <v>157.69999999999999</v>
      </c>
      <c r="P149" s="1004">
        <f t="shared" ref="P149:P157" ca="1" si="79">IF(M149&gt;0,N149*100/M149,0)</f>
        <v>67.22080136402387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10000</v>
      </c>
      <c r="M151" s="899">
        <f t="shared" ca="1" si="80"/>
        <v>23460</v>
      </c>
      <c r="N151" s="899">
        <f t="shared" ca="1" si="80"/>
        <v>15770</v>
      </c>
      <c r="O151" s="899">
        <f t="shared" ca="1" si="78"/>
        <v>157.69999999999999</v>
      </c>
      <c r="P151" s="899">
        <f t="shared" ca="1" si="79"/>
        <v>67.22080136402387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10000</v>
      </c>
      <c r="M152" s="893">
        <f t="shared" ca="1" si="81"/>
        <v>23460</v>
      </c>
      <c r="N152" s="893">
        <f t="shared" ca="1" si="81"/>
        <v>15770</v>
      </c>
      <c r="O152" s="893">
        <f t="shared" ca="1" si="78"/>
        <v>157.69999999999999</v>
      </c>
      <c r="P152" s="893">
        <f t="shared" ca="1" si="79"/>
        <v>67.22080136402387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IFERROR(__xludf.DUMMYFUNCTION("IMPORTRANGE(""https://docs.google.com/spreadsheets/d/1MeEWN-I1oV_STSDYn1IFDPWt_1FKiwhDph83XaGc0o0/edit?usp=sharing"",""งบพรบ!BU50"")"),10000)</f>
        <v>10000</v>
      </c>
      <c r="M154" s="899">
        <f ca="1">IFERROR(__xludf.DUMMYFUNCTION("IMPORTRANGE(""https://docs.google.com/spreadsheets/d/1MeEWN-I1oV_STSDYn1IFDPWt_1FKiwhDph83XaGc0o0/edit?usp=sharing"",""งบพรบ!BZ50"")"),23460)</f>
        <v>23460</v>
      </c>
      <c r="N154" s="899">
        <f ca="1">IFERROR(__xludf.DUMMYFUNCTION("IMPORTRANGE(""https://docs.google.com/spreadsheets/d/1MeEWN-I1oV_STSDYn1IFDPWt_1FKiwhDph83XaGc0o0/edit?usp=sharing"",""งบพรบ!CB50"")"),15770)</f>
        <v>15770</v>
      </c>
      <c r="O154" s="899">
        <f t="shared" ca="1" si="78"/>
        <v>157.69999999999999</v>
      </c>
      <c r="P154" s="899">
        <f t="shared" ca="1" si="79"/>
        <v>67.22080136402387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IFERROR(__xludf.DUMMYFUNCTION("IMPORTRANGE(""https://docs.google.com/spreadsheets/d/1MeEWN-I1oV_STSDYn1IFDPWt_1FKiwhDph83XaGc0o0/edit?usp=sharing"",""งบพรบ!BX50"")"),0)</f>
        <v>0</v>
      </c>
      <c r="M157" s="899">
        <f ca="1">IFERROR(__xludf.DUMMYFUNCTION("IMPORTRANGE(""https://docs.google.com/spreadsheets/d/1MeEWN-I1oV_STSDYn1IFDPWt_1FKiwhDph83XaGc0o0/edit?usp=sharing"",""งบพรบ!CA50"")"),0)</f>
        <v>0</v>
      </c>
      <c r="N157" s="899">
        <f ca="1">IFERROR(__xludf.DUMMYFUNCTION("IMPORTRANGE(""https://docs.google.com/spreadsheets/d/1MeEWN-I1oV_STSDYn1IFDPWt_1FKiwhDph83XaGc0o0/edit?usp=sharing"",""งบพรบ!CC50"")"),0)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IFERROR(__xludf.DUMMYFUNCTION("IMPORTRANGE(""https://docs.google.com/spreadsheets/d/1QqKyyYR6Q21VydFLVH3TRQUabQu_ym0Zz7PgGX0-kHA/edit?usp=sharing"",""แผน!X50"")"),20)</f>
        <v>20</v>
      </c>
      <c r="J159" s="1024">
        <v>20</v>
      </c>
      <c r="K159" s="893">
        <f ca="1">IF(I159&gt;0,J159*100/I159,0)</f>
        <v>100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11</v>
      </c>
      <c r="J164" s="1073">
        <f t="shared" si="83"/>
        <v>11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22055</v>
      </c>
      <c r="M165" s="1004">
        <f t="shared" ca="1" si="84"/>
        <v>22055</v>
      </c>
      <c r="N165" s="1004">
        <f t="shared" ca="1" si="84"/>
        <v>22055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22055</v>
      </c>
      <c r="M167" s="899">
        <f t="shared" ca="1" si="87"/>
        <v>22055</v>
      </c>
      <c r="N167" s="899">
        <f t="shared" ca="1" si="87"/>
        <v>22055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22055</v>
      </c>
      <c r="M168" s="893">
        <f t="shared" ca="1" si="88"/>
        <v>22055</v>
      </c>
      <c r="N168" s="893">
        <f t="shared" ca="1" si="88"/>
        <v>22055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IFERROR(__xludf.DUMMYFUNCTION("IMPORTRANGE(""https://docs.google.com/spreadsheets/d/1MeEWN-I1oV_STSDYn1IFDPWt_1FKiwhDph83XaGc0o0/edit?usp=sharing"",""งบพรบ!CE50"")"),22055)</f>
        <v>22055</v>
      </c>
      <c r="M170" s="899">
        <f ca="1">IFERROR(__xludf.DUMMYFUNCTION("IMPORTRANGE(""https://docs.google.com/spreadsheets/d/1MeEWN-I1oV_STSDYn1IFDPWt_1FKiwhDph83XaGc0o0/edit?usp=sharing"",""งบพรบ!CJ50"")"),22055)</f>
        <v>22055</v>
      </c>
      <c r="N170" s="899">
        <f ca="1">IFERROR(__xludf.DUMMYFUNCTION("IMPORTRANGE(""https://docs.google.com/spreadsheets/d/1MeEWN-I1oV_STSDYn1IFDPWt_1FKiwhDph83XaGc0o0/edit?usp=sharing"",""งบพรบ!CL50"")"),22055)</f>
        <v>22055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IFERROR(__xludf.DUMMYFUNCTION("IMPORTRANGE(""https://docs.google.com/spreadsheets/d/1MeEWN-I1oV_STSDYn1IFDPWt_1FKiwhDph83XaGc0o0/edit?usp=sharing"",""งบพรบ!CH50"")"),0)</f>
        <v>0</v>
      </c>
      <c r="M173" s="899">
        <f ca="1">IFERROR(__xludf.DUMMYFUNCTION("IMPORTRANGE(""https://docs.google.com/spreadsheets/d/1MeEWN-I1oV_STSDYn1IFDPWt_1FKiwhDph83XaGc0o0/edit?usp=sharing"",""งบพรบ!CK50"")"),0)</f>
        <v>0</v>
      </c>
      <c r="N173" s="899">
        <f ca="1">IFERROR(__xludf.DUMMYFUNCTION("IMPORTRANGE(""https://docs.google.com/spreadsheets/d/1MeEWN-I1oV_STSDYn1IFDPWt_1FKiwhDph83XaGc0o0/edit?usp=sharing"",""งบพรบ!CM50"")"),0)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11</v>
      </c>
      <c r="J174" s="1080">
        <f t="shared" si="90"/>
        <v>11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IFERROR(__xludf.DUMMYFUNCTION("IMPORTRANGE(""https://docs.google.com/spreadsheets/d/1QqKyyYR6Q21VydFLVH3TRQUabQu_ym0Zz7PgGX0-kHA/edit?usp=sharing"",""แผน!Y50"")"),11)</f>
        <v>11</v>
      </c>
      <c r="J176" s="1024">
        <v>11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0</v>
      </c>
      <c r="J180" s="1073">
        <f t="shared" si="91"/>
        <v>0</v>
      </c>
      <c r="K180" s="1074">
        <f ca="1">IF(I180&gt;0,J180*100/I180,0)</f>
        <v>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93500</v>
      </c>
      <c r="M181" s="1004">
        <f t="shared" ca="1" si="92"/>
        <v>88500</v>
      </c>
      <c r="N181" s="1004">
        <f t="shared" ca="1" si="92"/>
        <v>82555</v>
      </c>
      <c r="O181" s="1004">
        <f t="shared" ref="O181:O189" ca="1" si="93">IF(L181&gt;0,N181*100/L181,0)</f>
        <v>88.294117647058826</v>
      </c>
      <c r="P181" s="1004">
        <f t="shared" ref="P181:P189" ca="1" si="94">IF(M181&gt;0,N181*100/M181,0)</f>
        <v>93.282485875706215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93500</v>
      </c>
      <c r="M183" s="899">
        <f t="shared" ca="1" si="95"/>
        <v>88500</v>
      </c>
      <c r="N183" s="899">
        <f t="shared" ca="1" si="95"/>
        <v>82555</v>
      </c>
      <c r="O183" s="899">
        <f t="shared" ca="1" si="93"/>
        <v>88.294117647058826</v>
      </c>
      <c r="P183" s="899">
        <f t="shared" ca="1" si="94"/>
        <v>93.282485875706215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93500</v>
      </c>
      <c r="M184" s="893">
        <f t="shared" ca="1" si="96"/>
        <v>88500</v>
      </c>
      <c r="N184" s="893">
        <f t="shared" ca="1" si="96"/>
        <v>82555</v>
      </c>
      <c r="O184" s="893">
        <f t="shared" ca="1" si="93"/>
        <v>88.294117647058826</v>
      </c>
      <c r="P184" s="893">
        <f t="shared" ca="1" si="94"/>
        <v>93.282485875706215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IFERROR(__xludf.DUMMYFUNCTION("IMPORTRANGE(""https://docs.google.com/spreadsheets/d/1MeEWN-I1oV_STSDYn1IFDPWt_1FKiwhDph83XaGc0o0/edit?usp=sharing"",""งบพรบ!CO50"")"),93500)</f>
        <v>93500</v>
      </c>
      <c r="M186" s="899">
        <f ca="1">IFERROR(__xludf.DUMMYFUNCTION("IMPORTRANGE(""https://docs.google.com/spreadsheets/d/1MeEWN-I1oV_STSDYn1IFDPWt_1FKiwhDph83XaGc0o0/edit?usp=sharing"",""งบพรบ!CT50"")"),88500)</f>
        <v>88500</v>
      </c>
      <c r="N186" s="899">
        <f ca="1">IFERROR(__xludf.DUMMYFUNCTION("IMPORTRANGE(""https://docs.google.com/spreadsheets/d/1MeEWN-I1oV_STSDYn1IFDPWt_1FKiwhDph83XaGc0o0/edit?usp=sharing"",""งบพรบ!CV50"")"),82555)</f>
        <v>82555</v>
      </c>
      <c r="O186" s="899">
        <f t="shared" ca="1" si="93"/>
        <v>88.294117647058826</v>
      </c>
      <c r="P186" s="899">
        <f t="shared" ca="1" si="94"/>
        <v>93.282485875706215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IFERROR(__xludf.DUMMYFUNCTION("IMPORTRANGE(""https://docs.google.com/spreadsheets/d/1MeEWN-I1oV_STSDYn1IFDPWt_1FKiwhDph83XaGc0o0/edit?usp=sharing"",""งบพรบ!CR50"")"),0)</f>
        <v>0</v>
      </c>
      <c r="M189" s="899">
        <f ca="1">IFERROR(__xludf.DUMMYFUNCTION("IMPORTRANGE(""https://docs.google.com/spreadsheets/d/1MeEWN-I1oV_STSDYn1IFDPWt_1FKiwhDph83XaGc0o0/edit?usp=sharing"",""งบพรบ!CU50"")"),0)</f>
        <v>0</v>
      </c>
      <c r="N189" s="899">
        <f ca="1">IFERROR(__xludf.DUMMYFUNCTION("IMPORTRANGE(""https://docs.google.com/spreadsheets/d/1MeEWN-I1oV_STSDYn1IFDPWt_1FKiwhDph83XaGc0o0/edit?usp=sharing"",""งบพรบ!CW50"")"),0)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IFERROR(__xludf.DUMMYFUNCTION("IMPORTRANGE(""https://docs.google.com/spreadsheets/d/1QqKyyYR6Q21VydFLVH3TRQUabQu_ym0Zz7PgGX0-kHA/edit?usp=sharing"",""แผน!Z50"")"),6000)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IFERROR(__xludf.DUMMYFUNCTION("IMPORTRANGE(""https://docs.google.com/spreadsheets/d/1QqKyyYR6Q21VydFLVH3TRQUabQu_ym0Zz7PgGX0-kHA/edit?usp=sharing"",""แผน!AC50"")"),4)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186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f>154+17</f>
        <v>171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15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3</v>
      </c>
      <c r="J197" s="1089">
        <f t="shared" si="99"/>
        <v>3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39000</v>
      </c>
      <c r="M198" s="1004"/>
      <c r="N198" s="1004">
        <f>N199+N200+N201+N202</f>
        <v>39000</v>
      </c>
      <c r="O198" s="1004">
        <f ca="1">IF(L198&gt;0,N198*100/L198,0)</f>
        <v>100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IFERROR(__xludf.DUMMYFUNCTION("IMPORTRANGE(""https://docs.google.com/spreadsheets/d/1QqKyyYR6Q21VydFLVH3TRQUabQu_ym0Zz7PgGX0-kHA/edit?usp=sharing"",""แผน!AE50"")"),3000)</f>
        <v>3000</v>
      </c>
      <c r="M199" s="893"/>
      <c r="N199" s="1096">
        <v>3000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IFERROR(__xludf.DUMMYFUNCTION("IMPORTRANGE(""https://docs.google.com/spreadsheets/d/1QqKyyYR6Q21VydFLVH3TRQUabQu_ym0Zz7PgGX0-kHA/edit?usp=sharing"",""แผน!AF50"")"),24000)</f>
        <v>24000</v>
      </c>
      <c r="M200" s="893"/>
      <c r="N200" s="1096">
        <v>24000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IFERROR(__xludf.DUMMYFUNCTION("IMPORTRANGE(""https://docs.google.com/spreadsheets/d/1QqKyyYR6Q21VydFLVH3TRQUabQu_ym0Zz7PgGX0-kHA/edit?usp=sharing"",""แผน!AG50"")"),12000)</f>
        <v>12000</v>
      </c>
      <c r="M201" s="893"/>
      <c r="N201" s="1096">
        <v>12000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IFERROR(__xludf.DUMMYFUNCTION("IMPORTRANGE(""https://docs.google.com/spreadsheets/d/1QqKyyYR6Q21VydFLVH3TRQUabQu_ym0Zz7PgGX0-kHA/edit?usp=sharing"",""แผน!AH50"")"),0)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IFERROR(__xludf.DUMMYFUNCTION("IMPORTRANGE(""https://docs.google.com/spreadsheets/d/1QqKyyYR6Q21VydFLVH3TRQUabQu_ym0Zz7PgGX0-kHA/edit?usp=sharing"",""แผน!AI50"")"),3)</f>
        <v>3</v>
      </c>
      <c r="J204" s="1024">
        <v>3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3</v>
      </c>
      <c r="J206" s="1024">
        <v>3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3</v>
      </c>
      <c r="J208" s="1089">
        <f t="shared" si="101"/>
        <v>3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42000</v>
      </c>
      <c r="M209" s="1004"/>
      <c r="N209" s="1004">
        <f>N210+N211+N212</f>
        <v>42000</v>
      </c>
      <c r="O209" s="1004">
        <f ca="1">IF(L209&gt;0,N209*100/L209,0)</f>
        <v>100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IFERROR(__xludf.DUMMYFUNCTION("IMPORTRANGE(""https://docs.google.com/spreadsheets/d/1QqKyyYR6Q21VydFLVH3TRQUabQu_ym0Zz7PgGX0-kHA/edit?usp=sharing"",""แผน!AK50"")"),3000)</f>
        <v>3000</v>
      </c>
      <c r="M210" s="893"/>
      <c r="N210" s="1096">
        <v>3000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IFERROR(__xludf.DUMMYFUNCTION("IMPORTRANGE(""https://docs.google.com/spreadsheets/d/1QqKyyYR6Q21VydFLVH3TRQUabQu_ym0Zz7PgGX0-kHA/edit?usp=sharing"",""แผน!AL50"")"),15000)</f>
        <v>15000</v>
      </c>
      <c r="M211" s="893"/>
      <c r="N211" s="1096">
        <v>15000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IFERROR(__xludf.DUMMYFUNCTION("IMPORTRANGE(""https://docs.google.com/spreadsheets/d/1QqKyyYR6Q21VydFLVH3TRQUabQu_ym0Zz7PgGX0-kHA/edit?usp=sharing"",""แผน!AM50"")"),24000)</f>
        <v>24000</v>
      </c>
      <c r="M212" s="893"/>
      <c r="N212" s="1096">
        <v>24000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IFERROR(__xludf.DUMMYFUNCTION("IMPORTRANGE(""https://docs.google.com/spreadsheets/d/1QqKyyYR6Q21VydFLVH3TRQUabQu_ym0Zz7PgGX0-kHA/edit?usp=sharing"",""แผน!AN50"")"),3)</f>
        <v>3</v>
      </c>
      <c r="J214" s="1024">
        <v>3</v>
      </c>
      <c r="K214" s="893">
        <f t="shared" ref="K214:K216" ca="1" si="102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IFERROR(__xludf.DUMMYFUNCTION("IMPORTRANGE(""https://docs.google.com/spreadsheets/d/1QqKyyYR6Q21VydFLVH3TRQUabQu_ym0Zz7PgGX0-kHA/edit?usp=sharing"",""แผน!AN50"")"),3)</f>
        <v>3</v>
      </c>
      <c r="J215" s="1024">
        <v>3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10000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6500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IFERROR(__xludf.DUMMYFUNCTION("IMPORTRANGE(""https://docs.google.com/spreadsheets/d/1QqKyyYR6Q21VydFLVH3TRQUabQu_ym0Zz7PgGX0-kHA/edit?usp=sharing"",""แผน!AP50"")"),3000)</f>
        <v>3000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IFERROR(__xludf.DUMMYFUNCTION("IMPORTRANGE(""https://docs.google.com/spreadsheets/d/1QqKyyYR6Q21VydFLVH3TRQUabQu_ym0Zz7PgGX0-kHA/edit?usp=sharing"",""แผน!AQ50"")"),3500)</f>
        <v>3500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IFERROR(__xludf.DUMMYFUNCTION("IMPORTRANGE(""https://docs.google.com/spreadsheets/d/1QqKyyYR6Q21VydFLVH3TRQUabQu_ym0Zz7PgGX0-kHA/edit?usp=sharing"",""แผน!AR50"")"),0)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IFERROR(__xludf.DUMMYFUNCTION("IMPORTRANGE(""https://docs.google.com/spreadsheets/d/1QqKyyYR6Q21VydFLVH3TRQUabQu_ym0Zz7PgGX0-kHA/edit?usp=sharing"",""แผน!AT50"")"),10000)</f>
        <v>10000</v>
      </c>
      <c r="J223" s="1024">
        <v>0</v>
      </c>
      <c r="K223" s="1010">
        <f t="shared" ref="K223:K226" ca="1" si="104">IF(I223&gt;0,J223*100/I223,0)</f>
        <v>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IFERROR(__xludf.DUMMYFUNCTION("IMPORTRANGE(""https://docs.google.com/spreadsheets/d/1QqKyyYR6Q21VydFLVH3TRQUabQu_ym0Zz7PgGX0-kHA/edit?usp=sharing"",""แผน!AT50"")"),10000)</f>
        <v>10000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IFERROR(__xludf.DUMMYFUNCTION("IMPORTRANGE(""https://docs.google.com/spreadsheets/d/1QqKyyYR6Q21VydFLVH3TRQUabQu_ym0Zz7PgGX0-kHA/edit?usp=sharing"",""แผน!AS50"")"),0)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115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0</v>
      </c>
      <c r="J226" s="1105">
        <f t="shared" si="105"/>
        <v>0</v>
      </c>
      <c r="K226" s="1106">
        <f t="shared" ca="1" si="104"/>
        <v>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0</v>
      </c>
      <c r="M228" s="899"/>
      <c r="N228" s="899">
        <f t="shared" si="107"/>
        <v>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0</v>
      </c>
      <c r="M229" s="899"/>
      <c r="N229" s="899">
        <f t="shared" si="107"/>
        <v>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0</v>
      </c>
      <c r="J233" s="898">
        <f t="shared" si="108"/>
        <v>0</v>
      </c>
      <c r="K233" s="899">
        <f ca="1">IF(I233&gt;0,J233*100/I233,0)</f>
        <v>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0</v>
      </c>
      <c r="J236" s="898">
        <f t="shared" si="109"/>
        <v>0</v>
      </c>
      <c r="K236" s="899">
        <f t="shared" si="110"/>
        <v>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 hidden="1">
      <c r="A237" s="1076"/>
      <c r="B237" s="1083"/>
      <c r="C237" s="1088" t="s">
        <v>332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0</v>
      </c>
      <c r="J237" s="1089">
        <f t="shared" si="111"/>
        <v>0</v>
      </c>
      <c r="K237" s="1090">
        <f t="shared" ca="1" si="110"/>
        <v>0</v>
      </c>
      <c r="L237" s="1081"/>
      <c r="M237" s="1081"/>
      <c r="N237" s="1081"/>
      <c r="O237" s="1081"/>
      <c r="P237" s="1081"/>
    </row>
    <row r="238" spans="1:26" ht="19.5" hidden="1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0</v>
      </c>
      <c r="M238" s="1004"/>
      <c r="N238" s="1004">
        <f>N239+N240+N241+N242</f>
        <v>0</v>
      </c>
      <c r="O238" s="1004">
        <f ca="1">IF(L238&gt;0,N238*100/L238,0)</f>
        <v>0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 hidden="1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IFERROR(__xludf.DUMMYFUNCTION("IMPORTRANGE(""https://docs.google.com/spreadsheets/d/1QqKyyYR6Q21VydFLVH3TRQUabQu_ym0Zz7PgGX0-kHA/edit?usp=sharing"",""แผน!AV50"")"),0)</f>
        <v>0</v>
      </c>
      <c r="M239" s="1135"/>
      <c r="N239" s="1136">
        <v>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 hidden="1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IFERROR(__xludf.DUMMYFUNCTION("IMPORTRANGE(""https://docs.google.com/spreadsheets/d/1QqKyyYR6Q21VydFLVH3TRQUabQu_ym0Zz7PgGX0-kHA/edit?usp=sharing"",""แผน!AW50"")"),0)</f>
        <v>0</v>
      </c>
      <c r="M240" s="1135"/>
      <c r="N240" s="1136">
        <v>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 hidden="1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IFERROR(__xludf.DUMMYFUNCTION("IMPORTRANGE(""https://docs.google.com/spreadsheets/d/1QqKyyYR6Q21VydFLVH3TRQUabQu_ym0Zz7PgGX0-kHA/edit?usp=sharing"",""แผน!AX50"")"),0)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 hidden="1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IFERROR(__xludf.DUMMYFUNCTION("IMPORTRANGE(""https://docs.google.com/spreadsheets/d/1QqKyyYR6Q21VydFLVH3TRQUabQu_ym0Zz7PgGX0-kHA/edit?usp=sharing"",""แผน!AY50"")"),0)</f>
        <v>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 hidden="1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 hidden="1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IFERROR(__xludf.DUMMYFUNCTION("IMPORTRANGE(""https://docs.google.com/spreadsheets/d/1QqKyyYR6Q21VydFLVH3TRQUabQu_ym0Zz7PgGX0-kHA/edit?usp=sharing"",""แผน!BE50"")"),0)</f>
        <v>0</v>
      </c>
      <c r="J244" s="1024">
        <v>0</v>
      </c>
      <c r="K244" s="893">
        <f ca="1">IF(I244&gt;0,J244*100/I244,0)</f>
        <v>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 hidden="1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 hidden="1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/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 hidden="1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/>
      <c r="J247" s="1024">
        <v>0</v>
      </c>
      <c r="K247" s="893">
        <f t="shared" si="112"/>
        <v>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076"/>
      <c r="B248" s="1083"/>
      <c r="C248" s="1088" t="s">
        <v>333</v>
      </c>
      <c r="D248" s="1077"/>
      <c r="E248" s="1077"/>
      <c r="F248" s="1077"/>
      <c r="G248" s="1079"/>
      <c r="H248" s="260" t="s">
        <v>35</v>
      </c>
      <c r="I248" s="1089">
        <f t="shared" ref="I248:J248" ca="1" si="113">I255</f>
        <v>0</v>
      </c>
      <c r="J248" s="1089">
        <f t="shared" si="113"/>
        <v>0</v>
      </c>
      <c r="K248" s="1090">
        <f t="shared" ca="1" si="112"/>
        <v>0</v>
      </c>
      <c r="L248" s="1081"/>
      <c r="M248" s="1081"/>
      <c r="N248" s="1081"/>
      <c r="O248" s="1081"/>
      <c r="P248" s="1081"/>
    </row>
    <row r="249" spans="1:26" ht="19.5" hidden="1">
      <c r="A249" s="997"/>
      <c r="B249" s="998"/>
      <c r="C249" s="999" t="s">
        <v>16</v>
      </c>
      <c r="D249" s="1091" t="s">
        <v>17</v>
      </c>
      <c r="E249" s="998"/>
      <c r="F249" s="998"/>
      <c r="G249" s="1001"/>
      <c r="H249" s="275" t="s">
        <v>12</v>
      </c>
      <c r="I249" s="1093"/>
      <c r="J249" s="1093"/>
      <c r="K249" s="1094"/>
      <c r="L249" s="1004">
        <f ca="1">L250+L251+L252+L253</f>
        <v>0</v>
      </c>
      <c r="M249" s="1004"/>
      <c r="N249" s="1004">
        <f>N250+N251+N252+N253</f>
        <v>0</v>
      </c>
      <c r="O249" s="1004">
        <f ca="1">IF(L249&gt;0,N249*100/L249,0)</f>
        <v>0</v>
      </c>
      <c r="P249" s="1004">
        <f>IF(M249&gt;0,N249*100/M249,0)</f>
        <v>0</v>
      </c>
      <c r="Q249" s="880"/>
      <c r="R249" s="880"/>
      <c r="S249" s="880"/>
      <c r="T249" s="880"/>
      <c r="U249" s="880"/>
      <c r="V249" s="880"/>
      <c r="W249" s="880"/>
      <c r="X249" s="880"/>
      <c r="Y249" s="880"/>
      <c r="Z249" s="880"/>
    </row>
    <row r="250" spans="1:26" ht="18.75" hidden="1">
      <c r="A250" s="1128"/>
      <c r="B250" s="1129"/>
      <c r="C250" s="1130"/>
      <c r="D250" s="1131" t="s">
        <v>97</v>
      </c>
      <c r="E250" s="1130"/>
      <c r="F250" s="1130"/>
      <c r="G250" s="1132"/>
      <c r="H250" s="319" t="s">
        <v>12</v>
      </c>
      <c r="I250" s="1133"/>
      <c r="J250" s="1133"/>
      <c r="K250" s="1134"/>
      <c r="L250" s="1135">
        <f ca="1">IFERROR(__xludf.DUMMYFUNCTION("IMPORTRANGE(""https://docs.google.com/spreadsheets/d/1QqKyyYR6Q21VydFLVH3TRQUabQu_ym0Zz7PgGX0-kHA/edit?usp=sharing"",""แผน!AZ50"")"),0)</f>
        <v>0</v>
      </c>
      <c r="M250" s="1135"/>
      <c r="N250" s="1136">
        <v>0</v>
      </c>
      <c r="O250" s="1135"/>
      <c r="P250" s="1135"/>
      <c r="Q250" s="1137"/>
      <c r="R250" s="1137"/>
      <c r="S250" s="1137"/>
      <c r="T250" s="1137"/>
      <c r="U250" s="1137"/>
      <c r="V250" s="1137"/>
      <c r="W250" s="1137"/>
      <c r="X250" s="1137"/>
      <c r="Y250" s="1137"/>
      <c r="Z250" s="1137"/>
    </row>
    <row r="251" spans="1:26" ht="19.5" hidden="1">
      <c r="A251" s="1138"/>
      <c r="B251" s="1129"/>
      <c r="C251" s="1139"/>
      <c r="D251" s="1131" t="s">
        <v>98</v>
      </c>
      <c r="E251" s="1130"/>
      <c r="F251" s="1130"/>
      <c r="G251" s="1132"/>
      <c r="H251" s="319" t="s">
        <v>12</v>
      </c>
      <c r="I251" s="1140"/>
      <c r="J251" s="1140"/>
      <c r="K251" s="1135"/>
      <c r="L251" s="1135">
        <f ca="1">IFERROR(__xludf.DUMMYFUNCTION("IMPORTRANGE(""https://docs.google.com/spreadsheets/d/1QqKyyYR6Q21VydFLVH3TRQUabQu_ym0Zz7PgGX0-kHA/edit?usp=sharing"",""แผน!BA50"")"),0)</f>
        <v>0</v>
      </c>
      <c r="M251" s="1135"/>
      <c r="N251" s="1136">
        <v>0</v>
      </c>
      <c r="O251" s="1135"/>
      <c r="P251" s="1135"/>
      <c r="Q251" s="1141"/>
      <c r="R251" s="1141"/>
      <c r="S251" s="1141"/>
      <c r="T251" s="1141"/>
      <c r="U251" s="1141"/>
      <c r="V251" s="1141"/>
      <c r="W251" s="1141"/>
      <c r="X251" s="1141"/>
      <c r="Y251" s="1141"/>
      <c r="Z251" s="1141"/>
    </row>
    <row r="252" spans="1:26" ht="19.5" hidden="1">
      <c r="A252" s="1138"/>
      <c r="B252" s="1129"/>
      <c r="C252" s="1139"/>
      <c r="D252" s="1131" t="s">
        <v>116</v>
      </c>
      <c r="E252" s="1130"/>
      <c r="F252" s="1130"/>
      <c r="G252" s="1132"/>
      <c r="H252" s="319" t="s">
        <v>12</v>
      </c>
      <c r="I252" s="1140"/>
      <c r="J252" s="1140"/>
      <c r="K252" s="1135"/>
      <c r="L252" s="1135">
        <f ca="1">IFERROR(__xludf.DUMMYFUNCTION("IMPORTRANGE(""https://docs.google.com/spreadsheets/d/1QqKyyYR6Q21VydFLVH3TRQUabQu_ym0Zz7PgGX0-kHA/edit?usp=sharing"",""แผน!BB50"")"),0)</f>
        <v>0</v>
      </c>
      <c r="M252" s="1135"/>
      <c r="N252" s="1136">
        <v>0</v>
      </c>
      <c r="O252" s="1135"/>
      <c r="P252" s="1135"/>
      <c r="Q252" s="1141"/>
      <c r="R252" s="1141"/>
      <c r="S252" s="1141"/>
      <c r="T252" s="1141"/>
      <c r="U252" s="1141"/>
      <c r="V252" s="1141"/>
      <c r="W252" s="1141"/>
      <c r="X252" s="1141"/>
      <c r="Y252" s="1141"/>
      <c r="Z252" s="1141"/>
    </row>
    <row r="253" spans="1:26" ht="19.5" hidden="1">
      <c r="A253" s="1138"/>
      <c r="B253" s="1129"/>
      <c r="C253" s="1139"/>
      <c r="D253" s="1131" t="s">
        <v>100</v>
      </c>
      <c r="E253" s="1130"/>
      <c r="F253" s="1130"/>
      <c r="G253" s="1132"/>
      <c r="H253" s="319" t="s">
        <v>12</v>
      </c>
      <c r="I253" s="1140"/>
      <c r="J253" s="1140"/>
      <c r="K253" s="1135"/>
      <c r="L253" s="1135">
        <f ca="1">IFERROR(__xludf.DUMMYFUNCTION("IMPORTRANGE(""https://docs.google.com/spreadsheets/d/1QqKyyYR6Q21VydFLVH3TRQUabQu_ym0Zz7PgGX0-kHA/edit?usp=sharing"",""แผน!BC50"")"),0)</f>
        <v>0</v>
      </c>
      <c r="M253" s="1135"/>
      <c r="N253" s="1136">
        <v>0</v>
      </c>
      <c r="O253" s="1135"/>
      <c r="P253" s="1135"/>
      <c r="Q253" s="1141"/>
      <c r="R253" s="1141"/>
      <c r="S253" s="1141"/>
      <c r="T253" s="1141"/>
      <c r="U253" s="1141"/>
      <c r="V253" s="1141"/>
      <c r="W253" s="1141"/>
      <c r="X253" s="1141"/>
      <c r="Y253" s="1141"/>
      <c r="Z253" s="1141"/>
    </row>
    <row r="254" spans="1:26" ht="19.5" hidden="1">
      <c r="A254" s="1014"/>
      <c r="B254" s="1015"/>
      <c r="C254" s="1103" t="s">
        <v>16</v>
      </c>
      <c r="D254" s="1016" t="s">
        <v>38</v>
      </c>
      <c r="E254" s="1017"/>
      <c r="F254" s="1017"/>
      <c r="G254" s="1018"/>
      <c r="H254" s="1019"/>
      <c r="I254" s="1009"/>
      <c r="J254" s="892"/>
      <c r="K254" s="893"/>
      <c r="L254" s="893"/>
      <c r="M254" s="893"/>
      <c r="N254" s="893"/>
      <c r="O254" s="1010"/>
      <c r="P254" s="1010"/>
      <c r="Q254" s="880"/>
      <c r="R254" s="880"/>
      <c r="S254" s="880"/>
      <c r="T254" s="880"/>
      <c r="U254" s="880"/>
      <c r="V254" s="880"/>
      <c r="W254" s="880"/>
      <c r="X254" s="880"/>
      <c r="Y254" s="880"/>
      <c r="Z254" s="880"/>
    </row>
    <row r="255" spans="1:26" ht="18.75" hidden="1">
      <c r="A255" s="1014"/>
      <c r="B255" s="1015"/>
      <c r="C255" s="1015"/>
      <c r="D255" s="1021" t="s">
        <v>117</v>
      </c>
      <c r="E255" s="1022"/>
      <c r="F255" s="1022"/>
      <c r="G255" s="1023"/>
      <c r="H255" s="761" t="s">
        <v>35</v>
      </c>
      <c r="I255" s="892">
        <f ca="1">IFERROR(__xludf.DUMMYFUNCTION("IMPORTRANGE(""https://docs.google.com/spreadsheets/d/1QqKyyYR6Q21VydFLVH3TRQUabQu_ym0Zz7PgGX0-kHA/edit?usp=sharing"",""แผน!BF50"")"),0)</f>
        <v>0</v>
      </c>
      <c r="J255" s="1024">
        <v>0</v>
      </c>
      <c r="K255" s="893">
        <f ca="1">IF(I255&gt;0,J255*100/I255,0)</f>
        <v>0</v>
      </c>
      <c r="L255" s="893"/>
      <c r="M255" s="893"/>
      <c r="N255" s="893"/>
      <c r="O255" s="893"/>
      <c r="P255" s="893"/>
      <c r="Q255" s="880"/>
      <c r="R255" s="880"/>
      <c r="S255" s="880"/>
      <c r="T255" s="880"/>
      <c r="U255" s="880"/>
      <c r="V255" s="880"/>
      <c r="W255" s="880"/>
      <c r="X255" s="880"/>
      <c r="Y255" s="880"/>
      <c r="Z255" s="880"/>
    </row>
    <row r="256" spans="1:26" ht="18.75" hidden="1">
      <c r="A256" s="1014"/>
      <c r="B256" s="1015"/>
      <c r="C256" s="1015"/>
      <c r="D256" s="1142" t="s">
        <v>43</v>
      </c>
      <c r="E256" s="1022"/>
      <c r="F256" s="1022"/>
      <c r="G256" s="1023"/>
      <c r="H256" s="761"/>
      <c r="I256" s="892"/>
      <c r="J256" s="892"/>
      <c r="K256" s="893"/>
      <c r="L256" s="893"/>
      <c r="M256" s="893"/>
      <c r="N256" s="893"/>
      <c r="O256" s="1010"/>
      <c r="P256" s="1010"/>
      <c r="Q256" s="880"/>
      <c r="R256" s="880"/>
      <c r="S256" s="880"/>
      <c r="T256" s="880"/>
      <c r="U256" s="880"/>
      <c r="V256" s="880"/>
      <c r="W256" s="880"/>
      <c r="X256" s="880"/>
      <c r="Y256" s="880"/>
      <c r="Z256" s="880"/>
    </row>
    <row r="257" spans="1:26" ht="18.75" hidden="1">
      <c r="A257" s="1014"/>
      <c r="B257" s="1015"/>
      <c r="C257" s="1015"/>
      <c r="D257" s="1015"/>
      <c r="E257" s="1020" t="s">
        <v>118</v>
      </c>
      <c r="F257" s="1022"/>
      <c r="G257" s="1023"/>
      <c r="H257" s="761" t="s">
        <v>35</v>
      </c>
      <c r="I257" s="892"/>
      <c r="J257" s="1024">
        <v>0</v>
      </c>
      <c r="K257" s="893">
        <f t="shared" ref="K257:K258" si="114">IF(I257&gt;0,J257*100/I257,0)</f>
        <v>0</v>
      </c>
      <c r="L257" s="893"/>
      <c r="M257" s="893"/>
      <c r="N257" s="893"/>
      <c r="O257" s="893"/>
      <c r="P257" s="893"/>
      <c r="Q257" s="880"/>
      <c r="R257" s="880"/>
      <c r="S257" s="880"/>
      <c r="T257" s="880"/>
      <c r="U257" s="880"/>
      <c r="V257" s="880"/>
      <c r="W257" s="880"/>
      <c r="X257" s="880"/>
      <c r="Y257" s="880"/>
      <c r="Z257" s="880"/>
    </row>
    <row r="258" spans="1:26" ht="18.75" hidden="1">
      <c r="A258" s="1014"/>
      <c r="B258" s="1015"/>
      <c r="C258" s="1015"/>
      <c r="D258" s="1015"/>
      <c r="E258" s="1020" t="s">
        <v>119</v>
      </c>
      <c r="F258" s="1022"/>
      <c r="G258" s="1023"/>
      <c r="H258" s="761" t="s">
        <v>66</v>
      </c>
      <c r="I258" s="892"/>
      <c r="J258" s="1024">
        <v>0</v>
      </c>
      <c r="K258" s="893">
        <f t="shared" si="114"/>
        <v>0</v>
      </c>
      <c r="L258" s="893"/>
      <c r="M258" s="893"/>
      <c r="N258" s="893"/>
      <c r="O258" s="893"/>
      <c r="P258" s="893"/>
      <c r="Q258" s="880"/>
      <c r="R258" s="880"/>
      <c r="S258" s="880"/>
      <c r="T258" s="880"/>
      <c r="U258" s="880"/>
      <c r="V258" s="880"/>
      <c r="W258" s="880"/>
      <c r="X258" s="880"/>
      <c r="Y258" s="880"/>
      <c r="Z258" s="880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20</v>
      </c>
      <c r="J260" s="1073">
        <f t="shared" si="115"/>
        <v>20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25000</v>
      </c>
      <c r="M261" s="1004">
        <f t="shared" ca="1" si="116"/>
        <v>22000</v>
      </c>
      <c r="N261" s="1004">
        <f t="shared" ca="1" si="116"/>
        <v>22000</v>
      </c>
      <c r="O261" s="1004">
        <f t="shared" ref="O261:O269" ca="1" si="117">IF(L261&gt;0,N261*100/L261,0)</f>
        <v>88</v>
      </c>
      <c r="P261" s="1004">
        <f t="shared" ref="P261:P269" ca="1" si="118">IF(M261&gt;0,N261*100/M261,0)</f>
        <v>100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25000</v>
      </c>
      <c r="M263" s="899">
        <f t="shared" ca="1" si="119"/>
        <v>22000</v>
      </c>
      <c r="N263" s="899">
        <f t="shared" ca="1" si="119"/>
        <v>22000</v>
      </c>
      <c r="O263" s="899">
        <f t="shared" ca="1" si="117"/>
        <v>88</v>
      </c>
      <c r="P263" s="899">
        <f t="shared" ca="1" si="118"/>
        <v>100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25000</v>
      </c>
      <c r="M264" s="893">
        <f t="shared" ca="1" si="120"/>
        <v>22000</v>
      </c>
      <c r="N264" s="893">
        <f t="shared" ca="1" si="120"/>
        <v>22000</v>
      </c>
      <c r="O264" s="893">
        <f t="shared" ca="1" si="117"/>
        <v>88</v>
      </c>
      <c r="P264" s="893">
        <f t="shared" ca="1" si="118"/>
        <v>100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IFERROR(__xludf.DUMMYFUNCTION("IMPORTRANGE(""https://docs.google.com/spreadsheets/d/1MeEWN-I1oV_STSDYn1IFDPWt_1FKiwhDph83XaGc0o0/edit?usp=sharing"",""งบพรบ!CY50"")"),25000)</f>
        <v>25000</v>
      </c>
      <c r="M266" s="899">
        <f ca="1">IFERROR(__xludf.DUMMYFUNCTION("IMPORTRANGE(""https://docs.google.com/spreadsheets/d/1MeEWN-I1oV_STSDYn1IFDPWt_1FKiwhDph83XaGc0o0/edit?usp=sharing"",""งบพรบ!DD50"")"),22000)</f>
        <v>22000</v>
      </c>
      <c r="N266" s="899">
        <f ca="1">IFERROR(__xludf.DUMMYFUNCTION("IMPORTRANGE(""https://docs.google.com/spreadsheets/d/1MeEWN-I1oV_STSDYn1IFDPWt_1FKiwhDph83XaGc0o0/edit?usp=sharing"",""งบพรบ!DF50"")"),22000)</f>
        <v>22000</v>
      </c>
      <c r="O266" s="899">
        <f t="shared" ca="1" si="117"/>
        <v>88</v>
      </c>
      <c r="P266" s="899">
        <f t="shared" ca="1" si="118"/>
        <v>100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IFERROR(__xludf.DUMMYFUNCTION("IMPORTRANGE(""https://docs.google.com/spreadsheets/d/1MeEWN-I1oV_STSDYn1IFDPWt_1FKiwhDph83XaGc0o0/edit?usp=sharing"",""งบพรบ!DB50"")"),0)</f>
        <v>0</v>
      </c>
      <c r="M269" s="899">
        <f ca="1">IFERROR(__xludf.DUMMYFUNCTION("IMPORTRANGE(""https://docs.google.com/spreadsheets/d/1MeEWN-I1oV_STSDYn1IFDPWt_1FKiwhDph83XaGc0o0/edit?usp=sharing"",""งบพรบ!DE50"")"),0)</f>
        <v>0</v>
      </c>
      <c r="N269" s="899">
        <f ca="1">IFERROR(__xludf.DUMMYFUNCTION("IMPORTRANGE(""https://docs.google.com/spreadsheets/d/1MeEWN-I1oV_STSDYn1IFDPWt_1FKiwhDph83XaGc0o0/edit?usp=sharing"",""งบพรบ!DG50"")"),0)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IFERROR(__xludf.DUMMYFUNCTION("IMPORTRANGE(""https://docs.google.com/spreadsheets/d/1QqKyyYR6Q21VydFLVH3TRQUabQu_ym0Zz7PgGX0-kHA/edit?usp=sharing"",""แผน!EA50"")"),20)</f>
        <v>20</v>
      </c>
      <c r="J271" s="1024">
        <v>20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50</v>
      </c>
      <c r="J275" s="1170">
        <f t="shared" ca="1" si="122"/>
        <v>50</v>
      </c>
      <c r="K275" s="1171">
        <f t="shared" ref="K275:K276" ca="1" si="123">IF(I275&gt;0,J275*100/I275,0)</f>
        <v>100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500</v>
      </c>
      <c r="J276" s="1173">
        <f t="shared" si="124"/>
        <v>500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181410</v>
      </c>
      <c r="M277" s="1004">
        <f t="shared" ca="1" si="125"/>
        <v>181410</v>
      </c>
      <c r="N277" s="1004">
        <f t="shared" ca="1" si="125"/>
        <v>161882</v>
      </c>
      <c r="O277" s="1004">
        <f t="shared" ref="O277:O285" ca="1" si="126">IF(L277&gt;0,N277*100/L277,0)</f>
        <v>89.235433548315967</v>
      </c>
      <c r="P277" s="1004">
        <f t="shared" ref="P277:P285" ca="1" si="127">IF(M277&gt;0,N277*100/M277,0)</f>
        <v>89.235433548315967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181410</v>
      </c>
      <c r="M279" s="899">
        <f t="shared" ca="1" si="128"/>
        <v>181410</v>
      </c>
      <c r="N279" s="899">
        <f t="shared" ca="1" si="128"/>
        <v>161882</v>
      </c>
      <c r="O279" s="899">
        <f t="shared" ca="1" si="126"/>
        <v>89.235433548315967</v>
      </c>
      <c r="P279" s="899">
        <f t="shared" ca="1" si="127"/>
        <v>89.235433548315967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181410</v>
      </c>
      <c r="M280" s="893">
        <f t="shared" ca="1" si="129"/>
        <v>181410</v>
      </c>
      <c r="N280" s="893">
        <f t="shared" ca="1" si="129"/>
        <v>161882</v>
      </c>
      <c r="O280" s="893">
        <f t="shared" ca="1" si="126"/>
        <v>89.235433548315967</v>
      </c>
      <c r="P280" s="893">
        <f t="shared" ca="1" si="127"/>
        <v>89.235433548315967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IFERROR(__xludf.DUMMYFUNCTION("IMPORTRANGE(""https://docs.google.com/spreadsheets/d/1MeEWN-I1oV_STSDYn1IFDPWt_1FKiwhDph83XaGc0o0/edit?usp=sharing"",""งบพรบ!DI50"")"),181410)</f>
        <v>181410</v>
      </c>
      <c r="M282" s="899">
        <f ca="1">IFERROR(__xludf.DUMMYFUNCTION("IMPORTRANGE(""https://docs.google.com/spreadsheets/d/1MeEWN-I1oV_STSDYn1IFDPWt_1FKiwhDph83XaGc0o0/edit?usp=sharing"",""งบพรบ!DN50"")"),181410)</f>
        <v>181410</v>
      </c>
      <c r="N282" s="899">
        <f ca="1">IFERROR(__xludf.DUMMYFUNCTION("IMPORTRANGE(""https://docs.google.com/spreadsheets/d/1MeEWN-I1oV_STSDYn1IFDPWt_1FKiwhDph83XaGc0o0/edit?usp=sharing"",""งบพรบ!DP50"")"),161882)</f>
        <v>161882</v>
      </c>
      <c r="O282" s="899">
        <f t="shared" ca="1" si="126"/>
        <v>89.235433548315967</v>
      </c>
      <c r="P282" s="899">
        <f t="shared" ca="1" si="127"/>
        <v>89.235433548315967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IFERROR(__xludf.DUMMYFUNCTION("IMPORTRANGE(""https://docs.google.com/spreadsheets/d/1MeEWN-I1oV_STSDYn1IFDPWt_1FKiwhDph83XaGc0o0/edit?usp=sharing"",""งบพรบ!DL50"")"),0)</f>
        <v>0</v>
      </c>
      <c r="M285" s="899">
        <f ca="1">IFERROR(__xludf.DUMMYFUNCTION("IMPORTRANGE(""https://docs.google.com/spreadsheets/d/1MeEWN-I1oV_STSDYn1IFDPWt_1FKiwhDph83XaGc0o0/edit?usp=sharing"",""งบพรบ!DO50"")"),0)</f>
        <v>0</v>
      </c>
      <c r="N285" s="899">
        <f ca="1">IFERROR(__xludf.DUMMYFUNCTION("IMPORTRANGE(""https://docs.google.com/spreadsheets/d/1MeEWN-I1oV_STSDYn1IFDPWt_1FKiwhDph83XaGc0o0/edit?usp=sharing"",""งบพรบ!DQ50"")"),0)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IFERROR(__xludf.DUMMYFUNCTION("IMPORTRANGE(""https://docs.google.com/spreadsheets/d/1QqKyyYR6Q21VydFLVH3TRQUabQu_ym0Zz7PgGX0-kHA/edit?usp=sharing"",""แผน!EC50"")"),500)</f>
        <v>500</v>
      </c>
      <c r="J287" s="1024">
        <v>500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IFERROR(__xludf.DUMMYFUNCTION("IMPORTRANGE(""https://docs.google.com/spreadsheets/d/1QqKyyYR6Q21VydFLVH3TRQUabQu_ym0Zz7PgGX0-kHA/edit?usp=sharing"",""แผน!EB50"")"),50)</f>
        <v>50</v>
      </c>
      <c r="J288" s="1031">
        <f ca="1">IF(AND(J291&gt;=I288,J294&gt;=I288),J294,0)</f>
        <v>50</v>
      </c>
      <c r="K288" s="1174">
        <f t="shared" ca="1" si="131"/>
        <v>100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IFERROR(__xludf.DUMMYFUNCTION("IMPORTRANGE(""https://docs.google.com/spreadsheets/d/1QqKyyYR6Q21VydFLVH3TRQUabQu_ym0Zz7PgGX0-kHA/edit?usp=sharing"",""แผน!EB50"")"),50)</f>
        <v>50</v>
      </c>
      <c r="J290" s="1024">
        <v>50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IFERROR(__xludf.DUMMYFUNCTION("IMPORTRANGE(""https://docs.google.com/spreadsheets/d/1QqKyyYR6Q21VydFLVH3TRQUabQu_ym0Zz7PgGX0-kHA/edit?usp=sharing"",""แผน!EB50"")"),50)</f>
        <v>50</v>
      </c>
      <c r="J291" s="1024">
        <v>50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IFERROR(__xludf.DUMMYFUNCTION("IMPORTRANGE(""https://docs.google.com/spreadsheets/d/1QqKyyYR6Q21VydFLVH3TRQUabQu_ym0Zz7PgGX0-kHA/edit?usp=sharing"",""แผน!EB50"")"),50)</f>
        <v>50</v>
      </c>
      <c r="J293" s="1024">
        <v>50</v>
      </c>
      <c r="K293" s="1010">
        <f t="shared" ref="K293:K294" ca="1" si="133">IF(I293&gt;0,J293*100/I293,0)</f>
        <v>100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IFERROR(__xludf.DUMMYFUNCTION("IMPORTRANGE(""https://docs.google.com/spreadsheets/d/1QqKyyYR6Q21VydFLVH3TRQUabQu_ym0Zz7PgGX0-kHA/edit?usp=sharing"",""แผน!EB50"")"),50)</f>
        <v>50</v>
      </c>
      <c r="J294" s="1183">
        <v>50</v>
      </c>
      <c r="K294" s="1150">
        <f t="shared" ca="1" si="133"/>
        <v>100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82400</v>
      </c>
      <c r="M298" s="1004">
        <f t="shared" ca="1" si="135"/>
        <v>64400</v>
      </c>
      <c r="N298" s="1004">
        <f t="shared" ca="1" si="135"/>
        <v>62942</v>
      </c>
      <c r="O298" s="1004">
        <f t="shared" ref="O298:O306" ca="1" si="136">IF(L298&gt;0,N298*100/L298,0)</f>
        <v>76.385922330097088</v>
      </c>
      <c r="P298" s="1004">
        <f t="shared" ref="P298:P306" ca="1" si="137">IF(M298&gt;0,N298*100/M298,0)</f>
        <v>97.736024844720504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82400</v>
      </c>
      <c r="M300" s="899">
        <f t="shared" ca="1" si="138"/>
        <v>64400</v>
      </c>
      <c r="N300" s="899">
        <f t="shared" ca="1" si="138"/>
        <v>62942</v>
      </c>
      <c r="O300" s="899">
        <f t="shared" ca="1" si="136"/>
        <v>76.385922330097088</v>
      </c>
      <c r="P300" s="899">
        <f t="shared" ca="1" si="137"/>
        <v>97.736024844720504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82400</v>
      </c>
      <c r="M301" s="893">
        <f t="shared" ca="1" si="139"/>
        <v>64400</v>
      </c>
      <c r="N301" s="893">
        <f t="shared" ca="1" si="139"/>
        <v>62942</v>
      </c>
      <c r="O301" s="893">
        <f t="shared" ca="1" si="136"/>
        <v>76.385922330097088</v>
      </c>
      <c r="P301" s="893">
        <f t="shared" ca="1" si="137"/>
        <v>97.736024844720504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IFERROR(__xludf.DUMMYFUNCTION("IMPORTRANGE(""https://docs.google.com/spreadsheets/d/1MeEWN-I1oV_STSDYn1IFDPWt_1FKiwhDph83XaGc0o0/edit?usp=sharing"",""งบพรบ!DS50"")"),82400)</f>
        <v>82400</v>
      </c>
      <c r="M303" s="899">
        <f ca="1">IFERROR(__xludf.DUMMYFUNCTION("IMPORTRANGE(""https://docs.google.com/spreadsheets/d/1MeEWN-I1oV_STSDYn1IFDPWt_1FKiwhDph83XaGc0o0/edit?usp=sharing"",""งบพรบ!DX50"")"),64400)</f>
        <v>64400</v>
      </c>
      <c r="N303" s="899">
        <f ca="1">IFERROR(__xludf.DUMMYFUNCTION("IMPORTRANGE(""https://docs.google.com/spreadsheets/d/1MeEWN-I1oV_STSDYn1IFDPWt_1FKiwhDph83XaGc0o0/edit?usp=sharing"",""งบพรบ!DZ50"")"),62942)</f>
        <v>62942</v>
      </c>
      <c r="O303" s="899">
        <f t="shared" ca="1" si="136"/>
        <v>76.385922330097088</v>
      </c>
      <c r="P303" s="899">
        <f t="shared" ca="1" si="137"/>
        <v>97.736024844720504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IFERROR(__xludf.DUMMYFUNCTION("IMPORTRANGE(""https://docs.google.com/spreadsheets/d/1MeEWN-I1oV_STSDYn1IFDPWt_1FKiwhDph83XaGc0o0/edit?usp=sharing"",""งบพรบ!DV50"")"),0)</f>
        <v>0</v>
      </c>
      <c r="M306" s="899">
        <f ca="1">IFERROR(__xludf.DUMMYFUNCTION("IMPORTRANGE(""https://docs.google.com/spreadsheets/d/1MeEWN-I1oV_STSDYn1IFDPWt_1FKiwhDph83XaGc0o0/edit?usp=sharing"",""งบพรบ!DY50"")"),0)</f>
        <v>0</v>
      </c>
      <c r="N306" s="899">
        <f ca="1">IFERROR(__xludf.DUMMYFUNCTION("IMPORTRANGE(""https://docs.google.com/spreadsheets/d/1MeEWN-I1oV_STSDYn1IFDPWt_1FKiwhDph83XaGc0o0/edit?usp=sharing"",""งบพรบ!EA50"")"),0)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IFERROR(__xludf.DUMMYFUNCTION("IMPORTRANGE(""https://docs.google.com/spreadsheets/d/1QqKyyYR6Q21VydFLVH3TRQUabQu_ym0Zz7PgGX0-kHA/edit?usp=sharing"",""แผน!ED50"")"),20)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IFERROR(__xludf.DUMMYFUNCTION("IMPORTRANGE(""https://docs.google.com/spreadsheets/d/1QqKyyYR6Q21VydFLVH3TRQUabQu_ym0Zz7PgGX0-kHA/edit?usp=sharing"",""แผน!ED50"")"),20)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IFERROR(__xludf.DUMMYFUNCTION("IMPORTRANGE(""https://docs.google.com/spreadsheets/d/1QqKyyYR6Q21VydFLVH3TRQUabQu_ym0Zz7PgGX0-kHA/edit?usp=sharing"",""แผน!ED50"")"),20)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IFERROR(__xludf.DUMMYFUNCTION("IMPORTRANGE(""https://docs.google.com/spreadsheets/d/1QqKyyYR6Q21VydFLVH3TRQUabQu_ym0Zz7PgGX0-kHA/edit?usp=sharing"",""แผน!EE50"")"),4)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IFERROR(__xludf.DUMMYFUNCTION("IMPORTRANGE(""https://docs.google.com/spreadsheets/d/1MeEWN-I1oV_STSDYn1IFDPWt_1FKiwhDph83XaGc0o0/edit?usp=sharing"",""งบพรบ!EC50"")"),0)</f>
        <v>0</v>
      </c>
      <c r="M320" s="899">
        <f ca="1">IFERROR(__xludf.DUMMYFUNCTION("IMPORTRANGE(""https://docs.google.com/spreadsheets/d/1MeEWN-I1oV_STSDYn1IFDPWt_1FKiwhDph83XaGc0o0/edit?usp=sharing"",""งบพรบ!EH50"")"),0)</f>
        <v>0</v>
      </c>
      <c r="N320" s="899">
        <f ca="1">IFERROR(__xludf.DUMMYFUNCTION("IMPORTRANGE(""https://docs.google.com/spreadsheets/d/1MeEWN-I1oV_STSDYn1IFDPWt_1FKiwhDph83XaGc0o0/edit?usp=sharing"",""งบพรบ!EJ50"")"),0)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IFERROR(__xludf.DUMMYFUNCTION("IMPORTRANGE(""https://docs.google.com/spreadsheets/d/1MeEWN-I1oV_STSDYn1IFDPWt_1FKiwhDph83XaGc0o0/edit?usp=sharing"",""งบพรบ!EF50"")"),0)</f>
        <v>0</v>
      </c>
      <c r="M323" s="899">
        <f ca="1">IFERROR(__xludf.DUMMYFUNCTION("IMPORTRANGE(""https://docs.google.com/spreadsheets/d/1MeEWN-I1oV_STSDYn1IFDPWt_1FKiwhDph83XaGc0o0/edit?usp=sharing"",""งบพรบ!EI50"")"),0)</f>
        <v>0</v>
      </c>
      <c r="N323" s="899">
        <f ca="1">IFERROR(__xludf.DUMMYFUNCTION("IMPORTRANGE(""https://docs.google.com/spreadsheets/d/1MeEWN-I1oV_STSDYn1IFDPWt_1FKiwhDph83XaGc0o0/edit?usp=sharing"",""งบพรบ!EK50"")"),0)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IFERROR(__xludf.DUMMYFUNCTION("IMPORTRANGE(""https://docs.google.com/spreadsheets/d/1QqKyyYR6Q21VydFLVH3TRQUabQu_ym0Zz7PgGX0-kHA/edit?usp=sharing"",""แผน!EF50"")"),0)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IFERROR(__xludf.DUMMYFUNCTION("IMPORTRANGE(""https://docs.google.com/spreadsheets/d/1QqKyyYR6Q21VydFLVH3TRQUabQu_ym0Zz7PgGX0-kHA/edit?usp=sharing"",""แผน!EG50"")"),8800)</f>
        <v>8800</v>
      </c>
      <c r="J327" s="1202">
        <f ca="1">J338+J341+J342+J343</f>
        <v>12956</v>
      </c>
      <c r="K327" s="1203">
        <f ca="1">IF(I327&gt;0,J327*100/I327,0)</f>
        <v>147.22727272727272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192000</v>
      </c>
      <c r="M328" s="1004">
        <f t="shared" ca="1" si="149"/>
        <v>146500</v>
      </c>
      <c r="N328" s="1004">
        <f t="shared" ca="1" si="149"/>
        <v>71230</v>
      </c>
      <c r="O328" s="1004">
        <f t="shared" ref="O328:O336" ca="1" si="150">IF(L328&gt;0,N328*100/L328,0)</f>
        <v>37.098958333333336</v>
      </c>
      <c r="P328" s="1004">
        <f t="shared" ref="P328:P336" ca="1" si="151">IF(M328&gt;0,N328*100/M328,0)</f>
        <v>48.621160409556317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192000</v>
      </c>
      <c r="M330" s="899">
        <f t="shared" ca="1" si="152"/>
        <v>146500</v>
      </c>
      <c r="N330" s="899">
        <f t="shared" ca="1" si="152"/>
        <v>71230</v>
      </c>
      <c r="O330" s="899">
        <f t="shared" ca="1" si="150"/>
        <v>37.098958333333336</v>
      </c>
      <c r="P330" s="899">
        <f t="shared" ca="1" si="151"/>
        <v>48.621160409556317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192000</v>
      </c>
      <c r="M331" s="893">
        <f t="shared" ca="1" si="153"/>
        <v>146500</v>
      </c>
      <c r="N331" s="893">
        <f t="shared" ca="1" si="153"/>
        <v>71230</v>
      </c>
      <c r="O331" s="893">
        <f t="shared" ca="1" si="150"/>
        <v>37.098958333333336</v>
      </c>
      <c r="P331" s="893">
        <f t="shared" ca="1" si="151"/>
        <v>48.621160409556317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IFERROR(__xludf.DUMMYFUNCTION("IMPORTRANGE(""https://docs.google.com/spreadsheets/d/1MeEWN-I1oV_STSDYn1IFDPWt_1FKiwhDph83XaGc0o0/edit?usp=sharing"",""งบพรบ!EM50"")"),192000)</f>
        <v>192000</v>
      </c>
      <c r="M333" s="899">
        <f ca="1">IFERROR(__xludf.DUMMYFUNCTION("IMPORTRANGE(""https://docs.google.com/spreadsheets/d/1MeEWN-I1oV_STSDYn1IFDPWt_1FKiwhDph83XaGc0o0/edit?usp=sharing"",""งบพรบ!ER50"")"),146500)</f>
        <v>146500</v>
      </c>
      <c r="N333" s="899">
        <f ca="1">IFERROR(__xludf.DUMMYFUNCTION("IMPORTRANGE(""https://docs.google.com/spreadsheets/d/1MeEWN-I1oV_STSDYn1IFDPWt_1FKiwhDph83XaGc0o0/edit?usp=sharing"",""งบพรบ!ET50"")"),71230)</f>
        <v>71230</v>
      </c>
      <c r="O333" s="899">
        <f t="shared" ca="1" si="150"/>
        <v>37.098958333333336</v>
      </c>
      <c r="P333" s="899">
        <f t="shared" ca="1" si="151"/>
        <v>48.621160409556317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IFERROR(__xludf.DUMMYFUNCTION("IMPORTRANGE(""https://docs.google.com/spreadsheets/d/1MeEWN-I1oV_STSDYn1IFDPWt_1FKiwhDph83XaGc0o0/edit?usp=sharing"",""งบพรบ!EP50"")"),0)</f>
        <v>0</v>
      </c>
      <c r="M336" s="899">
        <f ca="1">IFERROR(__xludf.DUMMYFUNCTION("IMPORTRANGE(""https://docs.google.com/spreadsheets/d/1MeEWN-I1oV_STSDYn1IFDPWt_1FKiwhDph83XaGc0o0/edit?usp=sharing"",""งบพรบ!ES50"")"),0)</f>
        <v>0</v>
      </c>
      <c r="N336" s="899">
        <f ca="1">IFERROR(__xludf.DUMMYFUNCTION("IMPORTRANGE(""https://docs.google.com/spreadsheets/d/1MeEWN-I1oV_STSDYn1IFDPWt_1FKiwhDph83XaGc0o0/edit?usp=sharing"",""งบพรบ!EU50"")"),0)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IFERROR(__xludf.DUMMYFUNCTION("IMPORTRANGE(""https://docs.google.com/spreadsheets/d/1QqKyyYR6Q21VydFLVH3TRQUabQu_ym0Zz7PgGX0-kHA/edit?usp=sharing"",""แผน!EG50"")"),8800)</f>
        <v>8800</v>
      </c>
      <c r="J338" s="892">
        <f ca="1">IFERROR(__xludf.DUMMYFUNCTION("IMPORTRANGE(""https://docs.google.com/spreadsheets/d/1kVcqe37tkHyjCSG3S0O1AXqVkqjo8mSIZil3BcpIysc/edit?usp=sharing"",""ศูนย์!D50"")"),12670)</f>
        <v>12670</v>
      </c>
      <c r="K338" s="893">
        <f ca="1">IF(I338&gt;0,J338*100/I338,0)</f>
        <v>143.97727272727272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IFERROR(__xludf.DUMMYFUNCTION("IMPORTRANGE(""https://docs.google.com/spreadsheets/d/1QqKyyYR6Q21VydFLVH3TRQUabQu_ym0Zz7PgGX0-kHA/edit?usp=sharing"",""แผน!EH50"")"),12)</f>
        <v>12</v>
      </c>
      <c r="J340" s="892">
        <f ca="1">IFERROR(__xludf.DUMMYFUNCTION("IMPORTRANGE(""https://docs.google.com/spreadsheets/d/1kVcqe37tkHyjCSG3S0O1AXqVkqjo8mSIZil3BcpIysc/edit?usp=sharing"",""ศูนย์!E50"")"),7)</f>
        <v>7</v>
      </c>
      <c r="K340" s="893">
        <f ca="1">IF(I340&gt;0,J340*100/I340,0)</f>
        <v>58.333333333333336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IFERROR(__xludf.DUMMYFUNCTION("IMPORTRANGE(""https://docs.google.com/spreadsheets/d/1kVcqe37tkHyjCSG3S0O1AXqVkqjo8mSIZil3BcpIysc/edit?usp=sharing"",""ศูนย์!F50"")"),286)</f>
        <v>286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IFERROR(__xludf.DUMMYFUNCTION("IMPORTRANGE(""https://docs.google.com/spreadsheets/d/1kVcqe37tkHyjCSG3S0O1AXqVkqjo8mSIZil3BcpIysc/edit?usp=sharing"",""ศูนย์!G50"")"),0)</f>
        <v>0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IFERROR(__xludf.DUMMYFUNCTION("IMPORTRANGE(""https://docs.google.com/spreadsheets/d/1kVcqe37tkHyjCSG3S0O1AXqVkqjo8mSIZil3BcpIysc/edit?usp=sharing"",""ศูนย์!H50"")"),0)</f>
        <v>0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2655720</v>
      </c>
      <c r="M345" s="1004">
        <f t="shared" ca="1" si="155"/>
        <v>2181022</v>
      </c>
      <c r="N345" s="1004">
        <f t="shared" ca="1" si="155"/>
        <v>1538491.14</v>
      </c>
      <c r="O345" s="1004">
        <f t="shared" ref="O345:O353" ca="1" si="156">IF(L345&gt;0,N345*100/L345,0)</f>
        <v>57.931225430391756</v>
      </c>
      <c r="P345" s="1004">
        <f t="shared" ref="P345:P353" ca="1" si="157">IF(M345&gt;0,N345*100/M345,0)</f>
        <v>70.53991844190476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2655720</v>
      </c>
      <c r="M347" s="899">
        <f t="shared" ca="1" si="158"/>
        <v>2181022</v>
      </c>
      <c r="N347" s="899">
        <f t="shared" ca="1" si="158"/>
        <v>1538491.14</v>
      </c>
      <c r="O347" s="899">
        <f t="shared" ca="1" si="156"/>
        <v>57.931225430391756</v>
      </c>
      <c r="P347" s="899">
        <f t="shared" ca="1" si="157"/>
        <v>70.53991844190476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2482320</v>
      </c>
      <c r="M348" s="893">
        <f t="shared" ca="1" si="159"/>
        <v>2007622</v>
      </c>
      <c r="N348" s="893">
        <f t="shared" ca="1" si="159"/>
        <v>1365091.14</v>
      </c>
      <c r="O348" s="893">
        <f t="shared" ca="1" si="156"/>
        <v>54.992552934351735</v>
      </c>
      <c r="P348" s="893">
        <f t="shared" ca="1" si="157"/>
        <v>67.995426429875749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IFERROR(__xludf.DUMMYFUNCTION("IMPORTRANGE(""https://docs.google.com/spreadsheets/d/1MeEWN-I1oV_STSDYn1IFDPWt_1FKiwhDph83XaGc0o0/edit?usp=sharing"",""งบพรบ!EW50"")"),2482320)</f>
        <v>2482320</v>
      </c>
      <c r="M350" s="899">
        <f ca="1">IFERROR(__xludf.DUMMYFUNCTION("IMPORTRANGE(""https://docs.google.com/spreadsheets/d/1MeEWN-I1oV_STSDYn1IFDPWt_1FKiwhDph83XaGc0o0/edit?usp=sharing"",""งบพรบ!FB50"")"),2007622)</f>
        <v>2007622</v>
      </c>
      <c r="N350" s="899">
        <f ca="1">IFERROR(__xludf.DUMMYFUNCTION("IMPORTRANGE(""https://docs.google.com/spreadsheets/d/1MeEWN-I1oV_STSDYn1IFDPWt_1FKiwhDph83XaGc0o0/edit?usp=sharing"",""งบพรบ!FD50"")"),1365091.14)</f>
        <v>1365091.14</v>
      </c>
      <c r="O350" s="899">
        <f t="shared" ca="1" si="156"/>
        <v>54.992552934351735</v>
      </c>
      <c r="P350" s="899">
        <f t="shared" ca="1" si="157"/>
        <v>67.995426429875749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173400</v>
      </c>
      <c r="M351" s="893">
        <f t="shared" ca="1" si="160"/>
        <v>173400</v>
      </c>
      <c r="N351" s="893">
        <f t="shared" ca="1" si="160"/>
        <v>173400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IFERROR(__xludf.DUMMYFUNCTION("IMPORTRANGE(""https://docs.google.com/spreadsheets/d/1MeEWN-I1oV_STSDYn1IFDPWt_1FKiwhDph83XaGc0o0/edit?usp=sharing"",""งบพรบ!EZ50"")"),173400)</f>
        <v>173400</v>
      </c>
      <c r="M353" s="899">
        <f ca="1">IFERROR(__xludf.DUMMYFUNCTION("IMPORTRANGE(""https://docs.google.com/spreadsheets/d/1MeEWN-I1oV_STSDYn1IFDPWt_1FKiwhDph83XaGc0o0/edit?usp=sharing"",""งบพรบ!FC50"")"),173400)</f>
        <v>173400</v>
      </c>
      <c r="N353" s="899">
        <f ca="1">IFERROR(__xludf.DUMMYFUNCTION("IMPORTRANGE(""https://docs.google.com/spreadsheets/d/1MeEWN-I1oV_STSDYn1IFDPWt_1FKiwhDph83XaGc0o0/edit?usp=sharing"",""งบพรบ!FE50"")"),173400)</f>
        <v>173400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IFERROR(__xludf.DUMMYFUNCTION("IMPORTRANGE(""https://docs.google.com/spreadsheets/d/1QqKyyYR6Q21VydFLVH3TRQUabQu_ym0Zz7PgGX0-kHA/edit?usp=sharing"",""แผน!EP50"")"),1650)</f>
        <v>1650</v>
      </c>
      <c r="J355" s="1218">
        <f ca="1">J362</f>
        <v>435</v>
      </c>
      <c r="K355" s="1219">
        <f ca="1">IF(I355&gt;0,J355*100/I355,0)</f>
        <v>26.363636363636363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IFERROR(__xludf.DUMMYFUNCTION("IMPORTRANGE(""https://docs.google.com/spreadsheets/d/1XWAQStnk-4SwqDmLtmXYiTMKHgktTP8We1SCoS47DrQ/edit?usp=sharing"",""จัดที่ดิน!W50"")"),1014)</f>
        <v>1014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IFERROR(__xludf.DUMMYFUNCTION("IMPORTRANGE(""https://docs.google.com/spreadsheets/d/1QqKyyYR6Q21VydFLVH3TRQUabQu_ym0Zz7PgGX0-kHA/edit?usp=sharing"",""แผน!EO50"")"),21000)</f>
        <v>21000</v>
      </c>
      <c r="J359" s="892">
        <f ca="1">IFERROR(__xludf.DUMMYFUNCTION("IMPORTRANGE(""https://docs.google.com/spreadsheets/d/1XWAQStnk-4SwqDmLtmXYiTMKHgktTP8We1SCoS47DrQ/edit?usp=sharing"",""จัดที่ดิน!X50"")"),10357.3699999999)</f>
        <v>10357.369999999901</v>
      </c>
      <c r="K359" s="893">
        <f t="shared" ca="1" si="161"/>
        <v>49.320809523809054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IFERROR(__xludf.DUMMYFUNCTION("IMPORTRANGE(""https://docs.google.com/spreadsheets/d/1QqKyyYR6Q21VydFLVH3TRQUabQu_ym0Zz7PgGX0-kHA/edit?usp=sharing"",""แผน!EP50"")"),1650)</f>
        <v>1650</v>
      </c>
      <c r="J360" s="892">
        <f ca="1">IFERROR(__xludf.DUMMYFUNCTION("IMPORTRANGE(""https://docs.google.com/spreadsheets/d/1XWAQStnk-4SwqDmLtmXYiTMKHgktTP8We1SCoS47DrQ/edit?usp=sharing"",""จัดที่ดิน!Y50"")"),1021)</f>
        <v>1021</v>
      </c>
      <c r="K360" s="893">
        <f t="shared" ca="1" si="161"/>
        <v>61.878787878787875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IFERROR(__xludf.DUMMYFUNCTION("IMPORTRANGE(""https://docs.google.com/spreadsheets/d/1XWAQStnk-4SwqDmLtmXYiTMKHgktTP8We1SCoS47DrQ/edit?usp=sharing"",""จัดที่ดิน!Z50"")"),11568.31)</f>
        <v>11568.31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IFERROR(__xludf.DUMMYFUNCTION("IMPORTRANGE(""https://docs.google.com/spreadsheets/d/1QqKyyYR6Q21VydFLVH3TRQUabQu_ym0Zz7PgGX0-kHA/edit?usp=sharing"",""แผน!EP50"")"),1650)</f>
        <v>1650</v>
      </c>
      <c r="J362" s="892">
        <f ca="1">IFERROR(__xludf.DUMMYFUNCTION("IMPORTRANGE(""https://docs.google.com/spreadsheets/d/1XWAQStnk-4SwqDmLtmXYiTMKHgktTP8We1SCoS47DrQ/edit?usp=sharing"",""จัดที่ดิน!AA50"")"),435)</f>
        <v>435</v>
      </c>
      <c r="K362" s="893">
        <f t="shared" ca="1" si="161"/>
        <v>26.363636363636363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IFERROR(__xludf.DUMMYFUNCTION("IMPORTRANGE(""https://docs.google.com/spreadsheets/d/1XWAQStnk-4SwqDmLtmXYiTMKHgktTP8We1SCoS47DrQ/edit?usp=sharing"",""จัดที่ดิน!AB50"")"),4579.55)</f>
        <v>4579.55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2150</v>
      </c>
      <c r="J364" s="1231">
        <f t="shared" ca="1" si="162"/>
        <v>754</v>
      </c>
      <c r="K364" s="1232">
        <f t="shared" ca="1" si="161"/>
        <v>35.069767441860463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IFERROR(__xludf.DUMMYFUNCTION("IMPORTRANGE(""https://docs.google.com/spreadsheets/d/1QqKyyYR6Q21VydFLVH3TRQUabQu_ym0Zz7PgGX0-kHA/edit?usp=sharing"",""แผน!EJ50"")"),400)</f>
        <v>400</v>
      </c>
      <c r="J365" s="1239">
        <f ca="1">J372</f>
        <v>156</v>
      </c>
      <c r="K365" s="1240">
        <f t="shared" ca="1" si="161"/>
        <v>39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IFERROR(__xludf.DUMMYFUNCTION("IMPORTRANGE(""https://docs.google.com/spreadsheets/d/1XWAQStnk-4SwqDmLtmXYiTMKHgktTP8We1SCoS47DrQ/edit?usp=sharing"",""จัดที่ดิน!E50"")"),358)</f>
        <v>358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IFERROR(__xludf.DUMMYFUNCTION("IMPORTRANGE(""https://docs.google.com/spreadsheets/d/1QqKyyYR6Q21VydFLVH3TRQUabQu_ym0Zz7PgGX0-kHA/edit?usp=sharing"",""แผน!EI50"")"),6000)</f>
        <v>6000</v>
      </c>
      <c r="J369" s="892">
        <f ca="1">IFERROR(__xludf.DUMMYFUNCTION("IMPORTRANGE(""https://docs.google.com/spreadsheets/d/1XWAQStnk-4SwqDmLtmXYiTMKHgktTP8We1SCoS47DrQ/edit?usp=sharing"",""จัดที่ดิน!F50"")"),3958.79)</f>
        <v>3958.79</v>
      </c>
      <c r="K369" s="893">
        <f t="shared" ca="1" si="163"/>
        <v>65.979833333333332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IFERROR(__xludf.DUMMYFUNCTION("IMPORTRANGE(""https://docs.google.com/spreadsheets/d/1QqKyyYR6Q21VydFLVH3TRQUabQu_ym0Zz7PgGX0-kHA/edit?usp=sharing"",""แผน!EJ50"")"),400)</f>
        <v>400</v>
      </c>
      <c r="J370" s="892">
        <f ca="1">IFERROR(__xludf.DUMMYFUNCTION("IMPORTRANGE(""https://docs.google.com/spreadsheets/d/1XWAQStnk-4SwqDmLtmXYiTMKHgktTP8We1SCoS47DrQ/edit?usp=sharing"",""จัดที่ดิน!G50"")"),306)</f>
        <v>306</v>
      </c>
      <c r="K370" s="893">
        <f t="shared" ca="1" si="163"/>
        <v>76.5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IFERROR(__xludf.DUMMYFUNCTION("IMPORTRANGE(""https://docs.google.com/spreadsheets/d/1XWAQStnk-4SwqDmLtmXYiTMKHgktTP8We1SCoS47DrQ/edit?usp=sharing"",""จัดที่ดิน!H50"")"),3454.52)</f>
        <v>3454.52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IFERROR(__xludf.DUMMYFUNCTION("IMPORTRANGE(""https://docs.google.com/spreadsheets/d/1QqKyyYR6Q21VydFLVH3TRQUabQu_ym0Zz7PgGX0-kHA/edit?usp=sharing"",""แผน!EJ50"")"),400)</f>
        <v>400</v>
      </c>
      <c r="J372" s="892">
        <f ca="1">IFERROR(__xludf.DUMMYFUNCTION("IMPORTRANGE(""https://docs.google.com/spreadsheets/d/1XWAQStnk-4SwqDmLtmXYiTMKHgktTP8We1SCoS47DrQ/edit?usp=sharing"",""จัดที่ดิน!I50"")"),156)</f>
        <v>156</v>
      </c>
      <c r="K372" s="893">
        <f t="shared" ca="1" si="163"/>
        <v>39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IFERROR(__xludf.DUMMYFUNCTION("IMPORTRANGE(""https://docs.google.com/spreadsheets/d/1XWAQStnk-4SwqDmLtmXYiTMKHgktTP8We1SCoS47DrQ/edit?usp=sharing"",""จัดที่ดิน!J50"")"),1997.39)</f>
        <v>1997.39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IFERROR(__xludf.DUMMYFUNCTION("IMPORTRANGE(""https://docs.google.com/spreadsheets/d/1QqKyyYR6Q21VydFLVH3TRQUabQu_ym0Zz7PgGX0-kHA/edit?usp=sharing"",""แผน!EU50"")"),1750)</f>
        <v>1750</v>
      </c>
      <c r="J374" s="1239">
        <f ca="1">J381</f>
        <v>598</v>
      </c>
      <c r="K374" s="1240">
        <f t="shared" ca="1" si="163"/>
        <v>34.171428571428571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IFERROR(__xludf.DUMMYFUNCTION("IMPORTRANGE(""https://docs.google.com/spreadsheets/d/1XWAQStnk-4SwqDmLtmXYiTMKHgktTP8We1SCoS47DrQ/edit?usp=sharing"",""จัดที่ดิน!AH50"")"),656)</f>
        <v>656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IFERROR(__xludf.DUMMYFUNCTION("IMPORTRANGE(""https://docs.google.com/spreadsheets/d/1QqKyyYR6Q21VydFLVH3TRQUabQu_ym0Zz7PgGX0-kHA/edit?usp=sharing"",""แผน!ET50"")"),15000)</f>
        <v>15000</v>
      </c>
      <c r="J378" s="892">
        <f ca="1">IFERROR(__xludf.DUMMYFUNCTION("IMPORTRANGE(""https://docs.google.com/spreadsheets/d/1XWAQStnk-4SwqDmLtmXYiTMKHgktTP8We1SCoS47DrQ/edit?usp=sharing"",""จัดที่ดิน!AI50"")"),6398.58)</f>
        <v>6398.58</v>
      </c>
      <c r="K378" s="893">
        <f t="shared" ca="1" si="164"/>
        <v>42.657200000000003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IFERROR(__xludf.DUMMYFUNCTION("IMPORTRANGE(""https://docs.google.com/spreadsheets/d/1QqKyyYR6Q21VydFLVH3TRQUabQu_ym0Zz7PgGX0-kHA/edit?usp=sharing"",""แผน!EU50"")"),1750)</f>
        <v>1750</v>
      </c>
      <c r="J379" s="892">
        <f ca="1">IFERROR(__xludf.DUMMYFUNCTION("IMPORTRANGE(""https://docs.google.com/spreadsheets/d/1XWAQStnk-4SwqDmLtmXYiTMKHgktTP8We1SCoS47DrQ/edit?usp=sharing"",""จัดที่ดิน!AJ50"")"),1039)</f>
        <v>1039</v>
      </c>
      <c r="K379" s="893">
        <f t="shared" ca="1" si="164"/>
        <v>59.371428571428574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IFERROR(__xludf.DUMMYFUNCTION("IMPORTRANGE(""https://docs.google.com/spreadsheets/d/1XWAQStnk-4SwqDmLtmXYiTMKHgktTP8We1SCoS47DrQ/edit?usp=sharing"",""จัดที่ดิน!AK50"")"),13022.14)</f>
        <v>13022.14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IFERROR(__xludf.DUMMYFUNCTION("IMPORTRANGE(""https://docs.google.com/spreadsheets/d/1QqKyyYR6Q21VydFLVH3TRQUabQu_ym0Zz7PgGX0-kHA/edit?usp=sharing"",""แผน!EU50"")"),1750)</f>
        <v>1750</v>
      </c>
      <c r="J381" s="892">
        <f ca="1">IFERROR(__xludf.DUMMYFUNCTION("IMPORTRANGE(""https://docs.google.com/spreadsheets/d/1XWAQStnk-4SwqDmLtmXYiTMKHgktTP8We1SCoS47DrQ/edit?usp=sharing"",""จัดที่ดิน!AL50"")"),598)</f>
        <v>598</v>
      </c>
      <c r="K381" s="893">
        <f t="shared" ca="1" si="164"/>
        <v>34.171428571428571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IFERROR(__xludf.DUMMYFUNCTION("IMPORTRANGE(""https://docs.google.com/spreadsheets/d/1XWAQStnk-4SwqDmLtmXYiTMKHgktTP8We1SCoS47DrQ/edit?usp=sharing"",""จัดที่ดิน!AM50"")"),7415.18)</f>
        <v>7415.18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246"/>
      <c r="B383" s="1247"/>
      <c r="C383" s="1102"/>
      <c r="D383" s="1248" t="s">
        <v>170</v>
      </c>
      <c r="E383" s="1102"/>
      <c r="F383" s="1102"/>
      <c r="G383" s="124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IFERROR(__xludf.DUMMYFUNCTION("IMPORTRANGE(""https://docs.google.com/spreadsheets/d/1QqKyyYR6Q21VydFLVH3TRQUabQu_ym0Zz7PgGX0-kHA/edit?usp=sharing"",""แผน!EW50"")"),100)</f>
        <v>100</v>
      </c>
      <c r="J385" s="1149">
        <f ca="1">IFERROR(__xludf.DUMMYFUNCTION("IMPORTRANGE(""https://docs.google.com/spreadsheets/d/1XWAQStnk-4SwqDmLtmXYiTMKHgktTP8We1SCoS47DrQ/edit?usp=sharing"",""จัดที่ดิน!AP50"")"),3)</f>
        <v>3</v>
      </c>
      <c r="K385" s="1251">
        <f ca="1">IF(I385&gt;0,J385*100/I385,0)</f>
        <v>3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IFERROR(__xludf.DUMMYFUNCTION("IMPORTRANGE(""https://docs.google.com/spreadsheets/d/1MeEWN-I1oV_STSDYn1IFDPWt_1FKiwhDph83XaGc0o0/edit?usp=sharing"",""งบพรบ!FG50"")"),0)</f>
        <v>0</v>
      </c>
      <c r="M394" s="899">
        <f ca="1">IFERROR(__xludf.DUMMYFUNCTION("IMPORTRANGE(""https://docs.google.com/spreadsheets/d/1MeEWN-I1oV_STSDYn1IFDPWt_1FKiwhDph83XaGc0o0/edit?usp=sharing"",""งบพรบ!FL50"")"),0)</f>
        <v>0</v>
      </c>
      <c r="N394" s="899">
        <f ca="1">IFERROR(__xludf.DUMMYFUNCTION("IMPORTRANGE(""https://docs.google.com/spreadsheets/d/1MeEWN-I1oV_STSDYn1IFDPWt_1FKiwhDph83XaGc0o0/edit?usp=sharing"",""งบพรบ!FN50"")"),0)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IFERROR(__xludf.DUMMYFUNCTION("IMPORTRANGE(""https://docs.google.com/spreadsheets/d/1MeEWN-I1oV_STSDYn1IFDPWt_1FKiwhDph83XaGc0o0/edit?usp=sharing"",""งบพรบ!FJ50"")"),0)</f>
        <v>0</v>
      </c>
      <c r="M397" s="899">
        <f ca="1">IFERROR(__xludf.DUMMYFUNCTION("IMPORTRANGE(""https://docs.google.com/spreadsheets/d/1MeEWN-I1oV_STSDYn1IFDPWt_1FKiwhDph83XaGc0o0/edit?usp=sharing"",""งบพรบ!FM50"")"),0)</f>
        <v>0</v>
      </c>
      <c r="N397" s="899">
        <f ca="1">IFERROR(__xludf.DUMMYFUNCTION("IMPORTRANGE(""https://docs.google.com/spreadsheets/d/1MeEWN-I1oV_STSDYn1IFDPWt_1FKiwhDph83XaGc0o0/edit?usp=sharing"",""งบพรบ!FO50"")"),0)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IFERROR(__xludf.DUMMYFUNCTION("IMPORTRANGE(""https://docs.google.com/spreadsheets/d/1MeEWN-I1oV_STSDYn1IFDPWt_1FKiwhDph83XaGc0o0/edit?usp=sharing"",""งบพรบ!FQ50"")"),0)</f>
        <v>0</v>
      </c>
      <c r="M407" s="899">
        <f ca="1">IFERROR(__xludf.DUMMYFUNCTION("IMPORTRANGE(""https://docs.google.com/spreadsheets/d/1MeEWN-I1oV_STSDYn1IFDPWt_1FKiwhDph83XaGc0o0/edit?usp=sharing"",""งบพรบ!FV50"")"),0)</f>
        <v>0</v>
      </c>
      <c r="N407" s="899">
        <f ca="1">IFERROR(__xludf.DUMMYFUNCTION("IMPORTRANGE(""https://docs.google.com/spreadsheets/d/1MeEWN-I1oV_STSDYn1IFDPWt_1FKiwhDph83XaGc0o0/edit?usp=sharing"",""งบพรบ!FX50"")"),0)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IFERROR(__xludf.DUMMYFUNCTION("IMPORTRANGE(""https://docs.google.com/spreadsheets/d/1MeEWN-I1oV_STSDYn1IFDPWt_1FKiwhDph83XaGc0o0/edit?usp=sharing"",""งบพรบ!FT50"")"),0)</f>
        <v>0</v>
      </c>
      <c r="M410" s="899">
        <f ca="1">IFERROR(__xludf.DUMMYFUNCTION("IMPORTRANGE(""https://docs.google.com/spreadsheets/d/1MeEWN-I1oV_STSDYn1IFDPWt_1FKiwhDph83XaGc0o0/edit?usp=sharing"",""งบพรบ!FW50"")"),0)</f>
        <v>0</v>
      </c>
      <c r="N410" s="899">
        <f ca="1">IFERROR(__xludf.DUMMYFUNCTION("IMPORTRANGE(""https://docs.google.com/spreadsheets/d/1MeEWN-I1oV_STSDYn1IFDPWt_1FKiwhDph83XaGc0o0/edit?usp=sharing"",""งบพรบ!FY50"")"),0)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3956925</v>
      </c>
      <c r="M414" s="1293">
        <f t="shared" ca="1" si="181"/>
        <v>3956925</v>
      </c>
      <c r="N414" s="1293">
        <f t="shared" si="181"/>
        <v>2234318.0499999998</v>
      </c>
      <c r="O414" s="1293">
        <f ca="1">IF(L414&gt;0,N414*100/L414,0)</f>
        <v>56.466019699640498</v>
      </c>
      <c r="P414" s="1293">
        <f ca="1">IF(M414&gt;0,N414*100/M414,0)</f>
        <v>56.466019699640498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15</v>
      </c>
      <c r="J417" s="1306">
        <f t="shared" ca="1" si="182"/>
        <v>15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67560</v>
      </c>
      <c r="M419" s="1004">
        <f t="shared" ca="1" si="184"/>
        <v>67560</v>
      </c>
      <c r="N419" s="1004">
        <f t="shared" si="184"/>
        <v>52583</v>
      </c>
      <c r="O419" s="1004">
        <f t="shared" ref="O419:O424" ca="1" si="185">IF(L419&gt;0,N419*100/L419,0)</f>
        <v>77.831557134399048</v>
      </c>
      <c r="P419" s="1004">
        <f t="shared" ref="P419:P424" ca="1" si="186">IF(M419&gt;0,N419*100/M419,0)</f>
        <v>77.831557134399048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67560</v>
      </c>
      <c r="M421" s="899">
        <f t="shared" ca="1" si="187"/>
        <v>67560</v>
      </c>
      <c r="N421" s="899">
        <f t="shared" si="187"/>
        <v>52583</v>
      </c>
      <c r="O421" s="899">
        <f t="shared" ca="1" si="185"/>
        <v>77.831557134399048</v>
      </c>
      <c r="P421" s="899">
        <f t="shared" ca="1" si="186"/>
        <v>77.831557134399048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67560</v>
      </c>
      <c r="M422" s="893">
        <f t="shared" ca="1" si="188"/>
        <v>67560</v>
      </c>
      <c r="N422" s="893">
        <f t="shared" si="188"/>
        <v>52583</v>
      </c>
      <c r="O422" s="893">
        <f t="shared" ca="1" si="185"/>
        <v>77.831557134399048</v>
      </c>
      <c r="P422" s="893">
        <f t="shared" ca="1" si="186"/>
        <v>77.831557134399048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IFERROR(__xludf.DUMMYFUNCTION("IMPORTRANGE(""https://docs.google.com/spreadsheets/d/1QqKyyYR6Q21VydFLVH3TRQUabQu_ym0Zz7PgGX0-kHA/edit?usp=sharing"",""แผน!EY50"")"),67560)</f>
        <v>67560</v>
      </c>
      <c r="M424" s="899">
        <f ca="1">L424</f>
        <v>67560</v>
      </c>
      <c r="N424" s="899">
        <f>N425+N426+N427+N428</f>
        <v>52583</v>
      </c>
      <c r="O424" s="899">
        <f t="shared" ca="1" si="185"/>
        <v>77.831557134399048</v>
      </c>
      <c r="P424" s="899">
        <f t="shared" ca="1" si="186"/>
        <v>77.831557134399048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37073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f>300+4250+10960</f>
        <v>15510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IFERROR(__xludf.DUMMYFUNCTION("IMPORTRANGE(""https://docs.google.com/spreadsheets/d/1QqKyyYR6Q21VydFLVH3TRQUabQu_ym0Zz7PgGX0-kHA/edit?usp=sharing"",""แผน!FB50"")"),0)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15</v>
      </c>
      <c r="J433" s="1031">
        <f ca="1">IF(AND(J435=I435,J437=I437,J439=I439),I437+I439,IF(AND(J435=I437,J437=I437),I437,IF(AND(J435=I439,J439=I439),I439,0)))</f>
        <v>15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IFERROR(__xludf.DUMMYFUNCTION("IMPORTRANGE(""https://docs.google.com/spreadsheets/d/1QqKyyYR6Q21VydFLVH3TRQUabQu_ym0Zz7PgGX0-kHA/edit?usp=sharing"",""แผน!FE50"")"),0)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IFERROR(__xludf.DUMMYFUNCTION("IMPORTRANGE(""https://docs.google.com/spreadsheets/d/1QqKyyYR6Q21VydFLVH3TRQUabQu_ym0Zz7PgGX0-kHA/edit?usp=sharing"",""แผน!FG50"")"),1)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 hidden="1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IFERROR(__xludf.DUMMYFUNCTION("IMPORTRANGE(""https://docs.google.com/spreadsheets/d/1QqKyyYR6Q21VydFLVH3TRQUabQu_ym0Zz7PgGX0-kHA/edit?usp=sharing"",""แผน!FH50"")"),0)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140</v>
      </c>
      <c r="J442" s="1322">
        <f t="shared" si="195"/>
        <v>140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660</v>
      </c>
      <c r="J443" s="1306">
        <f t="shared" si="196"/>
        <v>660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1043880</v>
      </c>
      <c r="M444" s="1032">
        <f t="shared" ca="1" si="197"/>
        <v>1043880</v>
      </c>
      <c r="N444" s="1032">
        <f t="shared" si="197"/>
        <v>851348</v>
      </c>
      <c r="O444" s="1032">
        <f t="shared" ref="O444:O449" ca="1" si="198">IF(L444&gt;0,N444*100/L444,0)</f>
        <v>81.556117561405529</v>
      </c>
      <c r="P444" s="1032">
        <f t="shared" ref="P444:P449" ca="1" si="199">IF(M444&gt;0,N444*100/M444,0)</f>
        <v>81.556117561405529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1043880</v>
      </c>
      <c r="M446" s="899">
        <f t="shared" ca="1" si="200"/>
        <v>1043880</v>
      </c>
      <c r="N446" s="899">
        <f t="shared" si="200"/>
        <v>851348</v>
      </c>
      <c r="O446" s="899">
        <f t="shared" ca="1" si="198"/>
        <v>81.556117561405529</v>
      </c>
      <c r="P446" s="899">
        <f t="shared" ca="1" si="199"/>
        <v>81.556117561405529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1043880</v>
      </c>
      <c r="M447" s="893">
        <f t="shared" ca="1" si="201"/>
        <v>1043880</v>
      </c>
      <c r="N447" s="893">
        <f t="shared" si="201"/>
        <v>851348</v>
      </c>
      <c r="O447" s="893">
        <f t="shared" ca="1" si="198"/>
        <v>81.556117561405529</v>
      </c>
      <c r="P447" s="893">
        <f t="shared" ca="1" si="199"/>
        <v>81.556117561405529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IFERROR(__xludf.DUMMYFUNCTION("IMPORTRANGE(""https://docs.google.com/spreadsheets/d/1QqKyyYR6Q21VydFLVH3TRQUabQu_ym0Zz7PgGX0-kHA/edit?usp=sharing"",""แผน!FJ50"")"),1043880)</f>
        <v>1043880</v>
      </c>
      <c r="M449" s="899">
        <f ca="1">L449</f>
        <v>1043880</v>
      </c>
      <c r="N449" s="899">
        <f>N450+N451+N452+N453</f>
        <v>851348</v>
      </c>
      <c r="O449" s="899">
        <f t="shared" ca="1" si="198"/>
        <v>81.556117561405529</v>
      </c>
      <c r="P449" s="899">
        <f t="shared" ca="1" si="199"/>
        <v>81.556117561405529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f>172114+62300</f>
        <v>234414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479968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65000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f>32110+2840+21116+12000+3900</f>
        <v>71966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IFERROR(__xludf.DUMMYFUNCTION("IMPORTRANGE(""https://docs.google.com/spreadsheets/d/1QqKyyYR6Q21VydFLVH3TRQUabQu_ym0Zz7PgGX0-kHA/edit?usp=sharing"",""แผน!FM50"")"),0)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IFERROR(__xludf.DUMMYFUNCTION("IMPORTRANGE(""https://docs.google.com/spreadsheets/d/1QqKyyYR6Q21VydFLVH3TRQUabQu_ym0Zz7PgGX0-kHA/edit?usp=sharing"",""แผน!FN50"")"),140)</f>
        <v>140</v>
      </c>
      <c r="J460" s="1024">
        <v>140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IFERROR(__xludf.DUMMYFUNCTION("IMPORTRANGE(""https://docs.google.com/spreadsheets/d/1QqKyyYR6Q21VydFLVH3TRQUabQu_ym0Zz7PgGX0-kHA/edit?usp=sharing"",""แผน!FO50"")"),660)</f>
        <v>660</v>
      </c>
      <c r="J462" s="1024">
        <v>660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IFERROR(__xludf.DUMMYFUNCTION("IMPORTRANGE(""https://docs.google.com/spreadsheets/d/1QqKyyYR6Q21VydFLVH3TRQUabQu_ym0Zz7PgGX0-kHA/edit?usp=sharing"",""แผน!FO50"")"),660)</f>
        <v>660</v>
      </c>
      <c r="J463" s="1024">
        <v>660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IFERROR(__xludf.DUMMYFUNCTION("IMPORTRANGE(""https://docs.google.com/spreadsheets/d/1QqKyyYR6Q21VydFLVH3TRQUabQu_ym0Zz7PgGX0-kHA/edit?usp=sharing"",""แผน!FN50"")"),140)</f>
        <v>140</v>
      </c>
      <c r="J464" s="1024">
        <v>140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IFERROR(__xludf.DUMMYFUNCTION("IMPORTRANGE(""https://docs.google.com/spreadsheets/d/1QqKyyYR6Q21VydFLVH3TRQUabQu_ym0Zz7PgGX0-kHA/edit?usp=sharing"",""แผน!FX50"")"),131)</f>
        <v>131</v>
      </c>
      <c r="J465" s="1322">
        <f>J485+J489+J492</f>
        <v>138</v>
      </c>
      <c r="K465" s="1323">
        <f t="shared" ca="1" si="205"/>
        <v>105.34351145038168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IFERROR(__xludf.DUMMYFUNCTION("IMPORTRANGE(""https://docs.google.com/spreadsheets/d/1QqKyyYR6Q21VydFLVH3TRQUabQu_ym0Zz7PgGX0-kHA/edit?usp=sharing"",""แผน!FW50"")"),1300)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1172208</v>
      </c>
      <c r="M467" s="1032">
        <f t="shared" ca="1" si="206"/>
        <v>1172208</v>
      </c>
      <c r="N467" s="1032">
        <f t="shared" si="206"/>
        <v>208051</v>
      </c>
      <c r="O467" s="1032">
        <f t="shared" ref="O467:O472" ca="1" si="207">IF(L467&gt;0,N467*100/L467,0)</f>
        <v>17.748641879256922</v>
      </c>
      <c r="P467" s="1032">
        <f t="shared" ref="P467:P472" ca="1" si="208">IF(M467&gt;0,N467*100/M467,0)</f>
        <v>17.748641879256922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1172208</v>
      </c>
      <c r="M469" s="899">
        <f t="shared" ca="1" si="209"/>
        <v>1172208</v>
      </c>
      <c r="N469" s="899">
        <f t="shared" si="209"/>
        <v>208051</v>
      </c>
      <c r="O469" s="899">
        <f t="shared" ca="1" si="207"/>
        <v>17.748641879256922</v>
      </c>
      <c r="P469" s="899">
        <f t="shared" ca="1" si="208"/>
        <v>17.748641879256922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1172208</v>
      </c>
      <c r="M470" s="893">
        <f t="shared" ca="1" si="210"/>
        <v>1172208</v>
      </c>
      <c r="N470" s="893">
        <f t="shared" si="210"/>
        <v>208051</v>
      </c>
      <c r="O470" s="893">
        <f t="shared" ca="1" si="207"/>
        <v>17.748641879256922</v>
      </c>
      <c r="P470" s="893">
        <f t="shared" ca="1" si="208"/>
        <v>17.748641879256922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IFERROR(__xludf.DUMMYFUNCTION("IMPORTRANGE(""https://docs.google.com/spreadsheets/d/1QqKyyYR6Q21VydFLVH3TRQUabQu_ym0Zz7PgGX0-kHA/edit?usp=sharing"",""แผน!FS50"")"),1172208)</f>
        <v>1172208</v>
      </c>
      <c r="M472" s="899">
        <f ca="1">L472</f>
        <v>1172208</v>
      </c>
      <c r="N472" s="899">
        <f>N473+N474+N475+N476</f>
        <v>208051</v>
      </c>
      <c r="O472" s="899">
        <f t="shared" ca="1" si="207"/>
        <v>17.748641879256922</v>
      </c>
      <c r="P472" s="899">
        <f t="shared" ca="1" si="208"/>
        <v>17.748641879256922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99051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20320+1545+7315+9870+4950</f>
        <v>44000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IFERROR(__xludf.DUMMYFUNCTION("IMPORTRANGE(""https://docs.google.com/spreadsheets/d/1QqKyyYR6Q21VydFLVH3TRQUabQu_ym0Zz7PgGX0-kHA/edit?usp=sharing"",""แผน!FV50"")"),0)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IFERROR(__xludf.DUMMYFUNCTION("IMPORTRANGE(""https://docs.google.com/spreadsheets/d/1QqKyyYR6Q21VydFLVH3TRQUabQu_ym0Zz7PgGX0-kHA/edit?usp=sharing"",""แผน!FY50"")"),1170)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117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IFERROR(__xludf.DUMMYFUNCTION("IMPORTRANGE(""https://docs.google.com/spreadsheets/d/1QqKyyYR6Q21VydFLVH3TRQUabQu_ym0Zz7PgGX0-kHA/edit?usp=sharing"",""แผน!FZ50"")"),117)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IFERROR(__xludf.DUMMYFUNCTION("IMPORTRANGE(""https://docs.google.com/spreadsheets/d/1QqKyyYR6Q21VydFLVH3TRQUabQu_ym0Zz7PgGX0-kHA/edit?usp=sharing"",""แผน!GA50"")"),130)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20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IFERROR(__xludf.DUMMYFUNCTION("IMPORTRANGE(""https://docs.google.com/spreadsheets/d/1QqKyyYR6Q21VydFLVH3TRQUabQu_ym0Zz7PgGX0-kHA/edit?usp=sharing"",""แผน!GB50"")"),13)</f>
        <v>13</v>
      </c>
      <c r="J489" s="1024">
        <v>20</v>
      </c>
      <c r="K489" s="893">
        <f ca="1">IF(I489&gt;0,J489*100/I489,0)</f>
        <v>153.84615384615384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IFERROR(__xludf.DUMMYFUNCTION("IMPORTRANGE(""https://docs.google.com/spreadsheets/d/1QqKyyYR6Q21VydFLVH3TRQUabQu_ym0Zz7PgGX0-kHA/edit?usp=sharing"",""แผน!GC50"")"),1)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IFERROR(__xludf.DUMMYFUNCTION("IMPORTRANGE(""https://docs.google.com/spreadsheets/d/1QqKyyYR6Q21VydFLVH3TRQUabQu_ym0Zz7PgGX0-kHA/edit?usp=sharing"",""แผน!FY50"")"),1170)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IFERROR(__xludf.DUMMYFUNCTION("IMPORTRANGE(""https://docs.google.com/spreadsheets/d/1QqKyyYR6Q21VydFLVH3TRQUabQu_ym0Zz7PgGX0-kHA/edit?usp=sharing"",""แผน!GA50"")"),130)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IFERROR(__xludf.DUMMYFUNCTION("IMPORTRANGE(""https://docs.google.com/spreadsheets/d/1QqKyyYR6Q21VydFLVH3TRQUabQu_ym0Zz7PgGX0-kHA/edit?usp=sharing"",""แผน!GQ50"")"),0)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IFERROR(__xludf.DUMMYFUNCTION("IMPORTRANGE(""https://docs.google.com/spreadsheets/d/1QqKyyYR6Q21VydFLVH3TRQUabQu_ym0Zz7PgGX0-kHA/edit?usp=sharing"",""แผน!GT50"")"),0)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IFERROR(__xludf.DUMMYFUNCTION("IMPORTRANGE(""https://docs.google.com/spreadsheets/d/1QqKyyYR6Q21VydFLVH3TRQUabQu_ym0Zz7PgGX0-kHA/edit?usp=sharing"",""แผน!GU50"")"),0)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IFERROR(__xludf.DUMMYFUNCTION("IMPORTRANGE(""https://docs.google.com/spreadsheets/d/1QqKyyYR6Q21VydFLVH3TRQUabQu_ym0Zz7PgGX0-kHA/edit?usp=sharing"",""แผน!GV50"")"),0)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IFERROR(__xludf.DUMMYFUNCTION("IMPORTRANGE(""https://docs.google.com/spreadsheets/d/1QqKyyYR6Q21VydFLVH3TRQUabQu_ym0Zz7PgGX0-kHA/edit?usp=sharing"",""แผน!GW50"")"),0)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IFERROR(__xludf.DUMMYFUNCTION("IMPORTRANGE(""https://docs.google.com/spreadsheets/d/1QqKyyYR6Q21VydFLVH3TRQUabQu_ym0Zz7PgGX0-kHA/edit?usp=sharing"",""แผน!GX50"")"),0)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IFERROR(__xludf.DUMMYFUNCTION("IMPORTRANGE(""https://docs.google.com/spreadsheets/d/1QqKyyYR6Q21VydFLVH3TRQUabQu_ym0Zz7PgGX0-kHA/edit?usp=sharing"",""แผน!GY50"")"),0)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IFERROR(__xludf.DUMMYFUNCTION("IMPORTRANGE(""https://docs.google.com/spreadsheets/d/1QqKyyYR6Q21VydFLVH3TRQUabQu_ym0Zz7PgGX0-kHA/edit?usp=sharing"",""แผน!GZ50"")"),0)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80104</v>
      </c>
      <c r="J543" s="1396">
        <f t="shared" si="235"/>
        <v>80105.78</v>
      </c>
      <c r="K543" s="1397">
        <f t="shared" ca="1" si="234"/>
        <v>100.00222211125536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493687</v>
      </c>
      <c r="M544" s="1004">
        <f t="shared" ca="1" si="236"/>
        <v>493687</v>
      </c>
      <c r="N544" s="1004">
        <f t="shared" si="236"/>
        <v>402490.29</v>
      </c>
      <c r="O544" s="1004">
        <f t="shared" ref="O544:O549" ca="1" si="237">IF(L544&gt;0,N544*100/L544,0)</f>
        <v>81.527423245902767</v>
      </c>
      <c r="P544" s="1004">
        <f t="shared" ref="P544:P549" ca="1" si="238">IF(M544&gt;0,N544*100/M544,0)</f>
        <v>81.527423245902767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493687</v>
      </c>
      <c r="M546" s="899">
        <f t="shared" ca="1" si="240"/>
        <v>493687</v>
      </c>
      <c r="N546" s="899">
        <f t="shared" si="240"/>
        <v>402490.29</v>
      </c>
      <c r="O546" s="899">
        <f t="shared" ca="1" si="237"/>
        <v>81.527423245902767</v>
      </c>
      <c r="P546" s="899">
        <f t="shared" ca="1" si="238"/>
        <v>81.527423245902767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493687</v>
      </c>
      <c r="M547" s="893">
        <f t="shared" ca="1" si="241"/>
        <v>493687</v>
      </c>
      <c r="N547" s="893">
        <f t="shared" si="241"/>
        <v>402490.29</v>
      </c>
      <c r="O547" s="893">
        <f t="shared" ca="1" si="237"/>
        <v>81.527423245902767</v>
      </c>
      <c r="P547" s="893">
        <f t="shared" ca="1" si="238"/>
        <v>81.527423245902767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IFERROR(__xludf.DUMMYFUNCTION("IMPORTRANGE(""https://docs.google.com/spreadsheets/d/1QqKyyYR6Q21VydFLVH3TRQUabQu_ym0Zz7PgGX0-kHA/edit?usp=sharing"",""แผน!HB50"")"),493687)</f>
        <v>493687</v>
      </c>
      <c r="M549" s="899">
        <f ca="1">L549</f>
        <v>493687</v>
      </c>
      <c r="N549" s="899">
        <f>N550+N551+N552+N553+N554</f>
        <v>402490.29</v>
      </c>
      <c r="O549" s="899">
        <f t="shared" ca="1" si="237"/>
        <v>81.527423245902767</v>
      </c>
      <c r="P549" s="899">
        <f t="shared" ca="1" si="238"/>
        <v>81.527423245902767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64161.29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15750+660+1400+28520+19651+209360+17805+19061+500+2782+22840</f>
        <v>338329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IFERROR(__xludf.DUMMYFUNCTION("IMPORTRANGE(""https://docs.google.com/spreadsheets/d/1QqKyyYR6Q21VydFLVH3TRQUabQu_ym0Zz7PgGX0-kHA/edit?usp=sharing"",""แผน!HF50"")"),0)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80104</v>
      </c>
      <c r="J559" s="1389">
        <f t="shared" si="245"/>
        <v>80105.78</v>
      </c>
      <c r="K559" s="1390">
        <f t="shared" ref="K559:K561" ca="1" si="246">IF(I559&gt;0,J559*100/I559,0)</f>
        <v>100.00222211125536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IFERROR(__xludf.DUMMYFUNCTION("IMPORTRANGE(""https://docs.google.com/spreadsheets/d/1QqKyyYR6Q21VydFLVH3TRQUabQu_ym0Zz7PgGX0-kHA/edit?usp=sharing"",""แผน!HH50"")"),80104)</f>
        <v>80104</v>
      </c>
      <c r="J560" s="1030">
        <f t="shared" ref="J560:J561" si="247">J562+J564+J566</f>
        <v>80104.92</v>
      </c>
      <c r="K560" s="1174">
        <f t="shared" ca="1" si="246"/>
        <v>100.00114850694098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IFERROR(__xludf.DUMMYFUNCTION("IMPORTRANGE(""https://docs.google.com/spreadsheets/d/1QqKyyYR6Q21VydFLVH3TRQUabQu_ym0Zz7PgGX0-kHA/edit?usp=sharing"",""แผน!HG50"")"),6736)</f>
        <v>6736</v>
      </c>
      <c r="J561" s="1030">
        <f t="shared" si="247"/>
        <v>6736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60622.07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5276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15846.72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1176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3636.13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284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IFERROR(__xludf.DUMMYFUNCTION("IMPORTRANGE(""https://docs.google.com/spreadsheets/d/1QqKyyYR6Q21VydFLVH3TRQUabQu_ym0Zz7PgGX0-kHA/edit?usp=sharing"",""แผน!HH50"")"),80104)</f>
        <v>80104</v>
      </c>
      <c r="J568" s="1031">
        <f t="shared" ref="J568:J569" si="248">J570+J572+J574</f>
        <v>80104.92</v>
      </c>
      <c r="K568" s="1174">
        <f t="shared" ref="K568:K569" ca="1" si="249">IF(I568&gt;0,J568*100/I568,0)</f>
        <v>100.00114850694098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IFERROR(__xludf.DUMMYFUNCTION("IMPORTRANGE(""https://docs.google.com/spreadsheets/d/1QqKyyYR6Q21VydFLVH3TRQUabQu_ym0Zz7PgGX0-kHA/edit?usp=sharing"",""แผน!HG50"")"),6736)</f>
        <v>6736</v>
      </c>
      <c r="J569" s="1031">
        <f t="shared" si="248"/>
        <v>6736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60622.07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5276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15846.72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1176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3636.13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284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IFERROR(__xludf.DUMMYFUNCTION("IMPORTRANGE(""https://docs.google.com/spreadsheets/d/1QqKyyYR6Q21VydFLVH3TRQUabQu_ym0Zz7PgGX0-kHA/edit?usp=sharing"",""แผน!HH50"")"),80104)</f>
        <v>80104</v>
      </c>
      <c r="J576" s="1031">
        <f t="shared" ref="J576:J577" si="250">J578+J580+J582+J588+J590</f>
        <v>80105.78</v>
      </c>
      <c r="K576" s="1174">
        <f t="shared" ref="K576:K577" ca="1" si="251">IF(I576&gt;0,J576*100/I576,0)</f>
        <v>100.00222211125536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IFERROR(__xludf.DUMMYFUNCTION("IMPORTRANGE(""https://docs.google.com/spreadsheets/d/1QqKyyYR6Q21VydFLVH3TRQUabQu_ym0Zz7PgGX0-kHA/edit?usp=sharing"",""แผน!HG50"")"),6736)</f>
        <v>6736</v>
      </c>
      <c r="J577" s="1031">
        <f t="shared" si="250"/>
        <v>6736</v>
      </c>
      <c r="K577" s="1174">
        <f t="shared" ca="1" si="251"/>
        <v>100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60622.07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5276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15846.72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1176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3636.99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284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3635.99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283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1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1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1116.18</v>
      </c>
      <c r="J592" s="1389">
        <f t="shared" si="253"/>
        <v>0</v>
      </c>
      <c r="K592" s="1390">
        <f t="shared" ref="K592:K594" ca="1" si="254">IF(I592&gt;0,J592*100/I592,0)</f>
        <v>0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IFERROR(__xludf.DUMMYFUNCTION("IMPORTRANGE(""https://docs.google.com/spreadsheets/d/1QqKyyYR6Q21VydFLVH3TRQUabQu_ym0Zz7PgGX0-kHA/edit?usp=sharing"",""แผน!HJ50"")"),1116.18)</f>
        <v>1116.18</v>
      </c>
      <c r="J593" s="1030">
        <f t="shared" ref="J593:J594" si="255">J595+J603+J609</f>
        <v>0</v>
      </c>
      <c r="K593" s="1174">
        <f t="shared" ca="1" si="254"/>
        <v>0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IFERROR(__xludf.DUMMYFUNCTION("IMPORTRANGE(""https://docs.google.com/spreadsheets/d/1QqKyyYR6Q21VydFLVH3TRQUabQu_ym0Zz7PgGX0-kHA/edit?usp=sharing"",""แผน!HI50"")"),66)</f>
        <v>66</v>
      </c>
      <c r="J594" s="1030">
        <f t="shared" si="255"/>
        <v>0</v>
      </c>
      <c r="K594" s="1174">
        <f t="shared" ca="1" si="254"/>
        <v>0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0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0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0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0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IFERROR(__xludf.DUMMYFUNCTION("IMPORTRANGE(""https://docs.google.com/spreadsheets/d/1QqKyyYR6Q21VydFLVH3TRQUabQu_ym0Zz7PgGX0-kHA/edit?usp=sharing"",""แผน!HL50"")"),22)</f>
        <v>22</v>
      </c>
      <c r="J620" s="1429">
        <f t="shared" ref="J620:J621" si="260">J622+J624+J626</f>
        <v>22</v>
      </c>
      <c r="K620" s="1430">
        <f t="shared" ref="K620:K621" ca="1" si="261">IF(I620&gt;0,J620*100/I620,0)</f>
        <v>100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IFERROR(__xludf.DUMMYFUNCTION("IMPORTRANGE(""https://docs.google.com/spreadsheets/d/1QqKyyYR6Q21VydFLVH3TRQUabQu_ym0Zz7PgGX0-kHA/edit?usp=sharing"",""แผน!HK50"")"),1)</f>
        <v>1</v>
      </c>
      <c r="J621" s="1429">
        <f t="shared" si="260"/>
        <v>1</v>
      </c>
      <c r="K621" s="1430">
        <f t="shared" ca="1" si="261"/>
        <v>100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22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1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812</v>
      </c>
      <c r="J628" s="1438">
        <f t="shared" ca="1" si="262"/>
        <v>589</v>
      </c>
      <c r="K628" s="1439">
        <f ca="1">IF(I628&gt;0,J628*100/I628,0)</f>
        <v>72.536945812807886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1025710</v>
      </c>
      <c r="M629" s="1032">
        <f t="shared" ca="1" si="263"/>
        <v>1025710</v>
      </c>
      <c r="N629" s="1032">
        <f t="shared" si="263"/>
        <v>656860.76</v>
      </c>
      <c r="O629" s="1032">
        <f t="shared" ref="O629:O634" ca="1" si="264">IF(L629&gt;0,N629*100/L629,0)</f>
        <v>64.03961743572745</v>
      </c>
      <c r="P629" s="1032">
        <f t="shared" ref="P629:P634" ca="1" si="265">IF(M629&gt;0,N629*100/M629,0)</f>
        <v>64.03961743572745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1025710</v>
      </c>
      <c r="M631" s="899">
        <f t="shared" ca="1" si="266"/>
        <v>1025710</v>
      </c>
      <c r="N631" s="899">
        <f t="shared" si="266"/>
        <v>656860.76</v>
      </c>
      <c r="O631" s="899">
        <f t="shared" ca="1" si="264"/>
        <v>64.03961743572745</v>
      </c>
      <c r="P631" s="899">
        <f t="shared" ca="1" si="265"/>
        <v>64.03961743572745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1025710</v>
      </c>
      <c r="M632" s="893">
        <f t="shared" ca="1" si="267"/>
        <v>1025710</v>
      </c>
      <c r="N632" s="893">
        <f t="shared" si="267"/>
        <v>656860.76</v>
      </c>
      <c r="O632" s="893">
        <f t="shared" ca="1" si="264"/>
        <v>64.03961743572745</v>
      </c>
      <c r="P632" s="893">
        <f t="shared" ca="1" si="265"/>
        <v>64.03961743572745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IFERROR(__xludf.DUMMYFUNCTION("IMPORTRANGE(""https://docs.google.com/spreadsheets/d/1QqKyyYR6Q21VydFLVH3TRQUabQu_ym0Zz7PgGX0-kHA/edit?usp=sharing"",""แผน!HN50"")"),1025710)</f>
        <v>1025710</v>
      </c>
      <c r="M634" s="899">
        <f ca="1">L634</f>
        <v>1025710</v>
      </c>
      <c r="N634" s="899">
        <f>N635+N636+N637+N638</f>
        <v>656860.76</v>
      </c>
      <c r="O634" s="899">
        <f t="shared" ca="1" si="264"/>
        <v>64.03961743572745</v>
      </c>
      <c r="P634" s="899">
        <f t="shared" ca="1" si="265"/>
        <v>64.03961743572745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130000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31910+36500+14127.5+32270+285070+29460+51243.26+17150+18530+10600</f>
        <v>526860.76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IFERROR(__xludf.DUMMYFUNCTION("IMPORTRANGE(""https://docs.google.com/spreadsheets/d/1QqKyyYR6Q21VydFLVH3TRQUabQu_ym0Zz7PgGX0-kHA/edit?usp=sharing"",""แผน!HQ50"")"),0)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IFERROR(__xludf.DUMMYFUNCTION("IMPORTRANGE(""https://docs.google.com/spreadsheets/d/1QqKyyYR6Q21VydFLVH3TRQUabQu_ym0Zz7PgGX0-kHA/edit?usp=sharing"",""แผน!HR50"")"),4)</f>
        <v>4</v>
      </c>
      <c r="J643" s="1024">
        <v>4</v>
      </c>
      <c r="K643" s="1010">
        <f t="shared" ref="K643:K652" ca="1" si="271">IF(I643&gt;0,J643*100/I643,0)</f>
        <v>100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IFERROR(__xludf.DUMMYFUNCTION("IMPORTRANGE(""https://docs.google.com/spreadsheets/d/1QqKyyYR6Q21VydFLVH3TRQUabQu_ym0Zz7PgGX0-kHA/edit?usp=sharing"",""แผน!HR50"")"),4)</f>
        <v>4</v>
      </c>
      <c r="J644" s="1024">
        <v>4</v>
      </c>
      <c r="K644" s="1010">
        <f t="shared" ca="1" si="271"/>
        <v>100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IFERROR(__xludf.DUMMYFUNCTION("IMPORTRANGE(""https://docs.google.com/spreadsheets/d/1XWAQStnk-4SwqDmLtmXYiTMKHgktTP8We1SCoS47DrQ/edit?usp=sharing"",""จัดที่ดิน!AS50"")"),205)</f>
        <v>205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IFERROR(__xludf.DUMMYFUNCTION("IMPORTRANGE(""https://docs.google.com/spreadsheets/d/1XWAQStnk-4SwqDmLtmXYiTMKHgktTP8We1SCoS47DrQ/edit?usp=sharing"",""จัดที่ดิน!AT50"")"),101.73)</f>
        <v>101.73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IFERROR(__xludf.DUMMYFUNCTION("IMPORTRANGE(""https://docs.google.com/spreadsheets/d/1QqKyyYR6Q21VydFLVH3TRQUabQu_ym0Zz7PgGX0-kHA/edit?usp=sharing"",""แผน!HS50"")"),812)</f>
        <v>812</v>
      </c>
      <c r="J647" s="892">
        <f ca="1">IFERROR(__xludf.DUMMYFUNCTION("IMPORTRANGE(""https://docs.google.com/spreadsheets/d/1XWAQStnk-4SwqDmLtmXYiTMKHgktTP8We1SCoS47DrQ/edit?usp=sharing"",""จัดที่ดิน!AU50"")"),407)</f>
        <v>407</v>
      </c>
      <c r="K647" s="1010">
        <f t="shared" ca="1" si="271"/>
        <v>50.123152709359609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IFERROR(__xludf.DUMMYFUNCTION("IMPORTRANGE(""https://docs.google.com/spreadsheets/d/1XWAQStnk-4SwqDmLtmXYiTMKHgktTP8We1SCoS47DrQ/edit?usp=sharing"",""จัดที่ดิน!AV50"")"),212.69)</f>
        <v>212.69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IFERROR(__xludf.DUMMYFUNCTION("IMPORTRANGE(""https://docs.google.com/spreadsheets/d/1QqKyyYR6Q21VydFLVH3TRQUabQu_ym0Zz7PgGX0-kHA/edit?usp=sharing"",""แผน!HS50"")"),812)</f>
        <v>812</v>
      </c>
      <c r="J649" s="892">
        <f ca="1">IFERROR(__xludf.DUMMYFUNCTION("IMPORTRANGE(""https://docs.google.com/spreadsheets/d/1XWAQStnk-4SwqDmLtmXYiTMKHgktTP8We1SCoS47DrQ/edit?usp=sharing"",""จัดที่ดิน!AW50"")"),589)</f>
        <v>589</v>
      </c>
      <c r="K649" s="1010">
        <f t="shared" ca="1" si="271"/>
        <v>72.536945812807886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IFERROR(__xludf.DUMMYFUNCTION("IMPORTRANGE(""https://docs.google.com/spreadsheets/d/1XWAQStnk-4SwqDmLtmXYiTMKHgktTP8We1SCoS47DrQ/edit?usp=sharing"",""จัดที่ดิน!AX50"")"),310.3)</f>
        <v>310.3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IFERROR(__xludf.DUMMYFUNCTION("IMPORTRANGE(""https://docs.google.com/spreadsheets/d/1QqKyyYR6Q21VydFLVH3TRQUabQu_ym0Zz7PgGX0-kHA/edit?usp=sharing"",""แผน!HS50"")"),812)</f>
        <v>812</v>
      </c>
      <c r="J651" s="892">
        <f ca="1">IFERROR(__xludf.DUMMYFUNCTION("IMPORTRANGE(""https://docs.google.com/spreadsheets/d/1XWAQStnk-4SwqDmLtmXYiTMKHgktTP8We1SCoS47DrQ/edit?usp=sharing"",""จัดที่ดิน!AY50"")"),589)</f>
        <v>589</v>
      </c>
      <c r="K651" s="1010">
        <f t="shared" ca="1" si="271"/>
        <v>72.536945812807886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IFERROR(__xludf.DUMMYFUNCTION("IMPORTRANGE(""https://docs.google.com/spreadsheets/d/1XWAQStnk-4SwqDmLtmXYiTMKHgktTP8We1SCoS47DrQ/edit?usp=sharing"",""จัดที่ดิน!AZ50"")"),310.2975)</f>
        <v>310.29750000000001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 hidden="1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 hidden="1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0</v>
      </c>
      <c r="M655" s="1032">
        <f t="shared" si="273"/>
        <v>0</v>
      </c>
      <c r="N655" s="1032">
        <f t="shared" si="273"/>
        <v>0</v>
      </c>
      <c r="O655" s="1032">
        <f t="shared" ref="O655:O660" ca="1" si="274">IF(L655&gt;0,N655*100/L655,0)</f>
        <v>0</v>
      </c>
      <c r="P655" s="1032">
        <f t="shared" ref="P655:P660" si="275">IF(M655&gt;0,N655*100/M655,0)</f>
        <v>0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0</v>
      </c>
      <c r="M657" s="899">
        <f t="shared" si="276"/>
        <v>0</v>
      </c>
      <c r="N657" s="899">
        <f t="shared" si="276"/>
        <v>0</v>
      </c>
      <c r="O657" s="899">
        <f t="shared" ca="1" si="274"/>
        <v>0</v>
      </c>
      <c r="P657" s="899">
        <f t="shared" si="275"/>
        <v>0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 hidden="1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0</v>
      </c>
      <c r="M658" s="893">
        <f t="shared" si="277"/>
        <v>0</v>
      </c>
      <c r="N658" s="893">
        <f t="shared" si="277"/>
        <v>0</v>
      </c>
      <c r="O658" s="893">
        <f t="shared" ca="1" si="274"/>
        <v>0</v>
      </c>
      <c r="P658" s="893">
        <f t="shared" si="275"/>
        <v>0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IFERROR(__xludf.DUMMYFUNCTION("IMPORTRANGE(""https://docs.google.com/spreadsheets/d/1QqKyyYR6Q21VydFLVH3TRQUabQu_ym0Zz7PgGX0-kHA/edit?usp=sharing"",""แผน!HV50"")"),0)</f>
        <v>0</v>
      </c>
      <c r="M660" s="899">
        <v>0</v>
      </c>
      <c r="N660" s="899">
        <f>N661+N662+N663+N664</f>
        <v>0</v>
      </c>
      <c r="O660" s="899">
        <f t="shared" ca="1" si="274"/>
        <v>0</v>
      </c>
      <c r="P660" s="899">
        <f t="shared" si="275"/>
        <v>0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 hidden="1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 hidden="1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 hidden="1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 hidden="1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v>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 hidden="1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 hidden="1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 hidden="1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IFERROR(__xludf.DUMMYFUNCTION("IMPORTRANGE(""https://docs.google.com/spreadsheets/d/1QqKyyYR6Q21VydFLVH3TRQUabQu_ym0Zz7PgGX0-kHA/edit?usp=sharing"",""แผน!IA50"")"),0)</f>
        <v>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 hidden="1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IFERROR(__xludf.DUMMYFUNCTION("IMPORTRANGE(""https://docs.google.com/spreadsheets/d/1QqKyyYR6Q21VydFLVH3TRQUabQu_ym0Zz7PgGX0-kHA/edit?usp=sharing"",""แผน!HZ50"")"),0)</f>
        <v>0</v>
      </c>
      <c r="J670" s="1024">
        <v>0</v>
      </c>
      <c r="K670" s="893">
        <f ca="1">IF(I670&gt;0,(J670*100)/I670,0)</f>
        <v>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 hidden="1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IFERROR(__xludf.DUMMYFUNCTION("IMPORTRANGE(""https://docs.google.com/spreadsheets/d/1QqKyyYR6Q21VydFLVH3TRQUabQu_ym0Zz7PgGX0-kHA/edit?usp=sharing"",""แผน!HZ50"")"),0)</f>
        <v>0</v>
      </c>
      <c r="J671" s="1024">
        <v>0</v>
      </c>
      <c r="K671" s="893">
        <f ca="1">IF(I$671&gt;0,J671*100/I$671,0)</f>
        <v>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 hidden="1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0</v>
      </c>
      <c r="K672" s="893">
        <f t="shared" ref="K672:K675" ca="1" si="281">IF(I$669&gt;0,J672*100/I$669,0)</f>
        <v>0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 hidden="1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0</v>
      </c>
      <c r="K673" s="893">
        <f t="shared" ca="1" si="281"/>
        <v>0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 hidden="1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 hidden="1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 hidden="1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 hidden="1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 hidden="1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IFERROR(__xludf.DUMMYFUNCTION("IMPORTRANGE(""https://docs.google.com/spreadsheets/d/1QqKyyYR6Q21VydFLVH3TRQUabQu_ym0Zz7PgGX0-kHA/edit?usp=sharing"",""แผน!IB50"")"),0)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 hidden="1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 hidden="1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 hidden="1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 hidden="1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 hidden="1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153880</v>
      </c>
      <c r="M685" s="1032">
        <f t="shared" ca="1" si="282"/>
        <v>153880</v>
      </c>
      <c r="N685" s="1032">
        <f t="shared" si="282"/>
        <v>62985</v>
      </c>
      <c r="O685" s="1032">
        <f t="shared" ref="O685:O688" ca="1" si="283">IF(L685&gt;0,N685*100/L685,0)</f>
        <v>40.931245126072263</v>
      </c>
      <c r="P685" s="1032">
        <f t="shared" ref="P685:P688" ca="1" si="284">IF(M685&gt;0,N685*100/M685,0)</f>
        <v>40.931245126072263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153880</v>
      </c>
      <c r="M687" s="899">
        <f t="shared" ca="1" si="285"/>
        <v>153880</v>
      </c>
      <c r="N687" s="899">
        <f t="shared" si="285"/>
        <v>62985</v>
      </c>
      <c r="O687" s="899">
        <f t="shared" ca="1" si="283"/>
        <v>40.931245126072263</v>
      </c>
      <c r="P687" s="899">
        <f t="shared" ca="1" si="284"/>
        <v>40.931245126072263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153880</v>
      </c>
      <c r="M688" s="893">
        <f t="shared" ca="1" si="286"/>
        <v>153880</v>
      </c>
      <c r="N688" s="893">
        <f t="shared" si="286"/>
        <v>62985</v>
      </c>
      <c r="O688" s="893">
        <f t="shared" ca="1" si="283"/>
        <v>40.931245126072263</v>
      </c>
      <c r="P688" s="893">
        <f t="shared" ca="1" si="284"/>
        <v>40.931245126072263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IFERROR(__xludf.DUMMYFUNCTION("IMPORTRANGE(""https://docs.google.com/spreadsheets/d/1QqKyyYR6Q21VydFLVH3TRQUabQu_ym0Zz7PgGX0-kHA/edit?usp=sharing"",""แผน!HW50"")"),153880)</f>
        <v>153880</v>
      </c>
      <c r="M690" s="899">
        <f ca="1">L690</f>
        <v>153880</v>
      </c>
      <c r="N690" s="899">
        <f>N691+N692+N693+N694</f>
        <v>62985</v>
      </c>
      <c r="O690" s="899">
        <f ca="1">IF(L690&gt;0,N690*100/L690,0)</f>
        <v>40.931245126072263</v>
      </c>
      <c r="P690" s="899">
        <f ca="1">IF(M690&gt;0,N690*100/M690,0)</f>
        <v>40.931245126072263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f>50670+12315</f>
        <v>62985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IFERROR(__xludf.DUMMYFUNCTION("IMPORTRANGE(""https://docs.google.com/spreadsheets/d/1QqKyyYR6Q21VydFLVH3TRQUabQu_ym0Zz7PgGX0-kHA/edit?usp=sharing"",""แผน!IC50"")"),663)</f>
        <v>663</v>
      </c>
      <c r="J699" s="892">
        <f ca="1">IFERROR(__xludf.DUMMYFUNCTION("IMPORTRANGE(""https://docs.google.com/spreadsheets/d/1XWAQStnk-4SwqDmLtmXYiTMKHgktTP8We1SCoS47DrQ/edit?usp=sharing"",""จัดที่ดิน!BB50"")"),362.21)</f>
        <v>362.21</v>
      </c>
      <c r="K699" s="893">
        <f t="shared" ref="K699:K701" ca="1" si="290">IF(I699&gt;0,J699*100/I699,0)</f>
        <v>54.631975867269986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IFERROR(__xludf.DUMMYFUNCTION("IMPORTRANGE(""https://docs.google.com/spreadsheets/d/1QqKyyYR6Q21VydFLVH3TRQUabQu_ym0Zz7PgGX0-kHA/edit?usp=sharing"",""แผน!ID50"")"),62)</f>
        <v>62</v>
      </c>
      <c r="J700" s="892">
        <f ca="1">IFERROR(__xludf.DUMMYFUNCTION("IMPORTRANGE(""https://docs.google.com/spreadsheets/d/1XWAQStnk-4SwqDmLtmXYiTMKHgktTP8We1SCoS47DrQ/edit?usp=sharing"",""จัดที่ดิน!BD50"")"),26)</f>
        <v>26</v>
      </c>
      <c r="K700" s="893">
        <f t="shared" ca="1" si="290"/>
        <v>41.935483870967744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IFERROR(__xludf.DUMMYFUNCTION("IMPORTRANGE(""https://docs.google.com/spreadsheets/d/1QqKyyYR6Q21VydFLVH3TRQUabQu_ym0Zz7PgGX0-kHA/edit?usp=sharing"",""แผน!IE50"")"),342)</f>
        <v>342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IFERROR(__xludf.DUMMYFUNCTION("IMPORTRANGE(""https://docs.google.com/spreadsheets/d/1QqKyyYR6Q21VydFLVH3TRQUabQu_ym0Zz7PgGX0-kHA/edit?usp=sharing"",""แผน!IF50"")"),0)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IFERROR(__xludf.DUMMYFUNCTION("IMPORTRANGE(""https://docs.google.com/spreadsheets/d/1QqKyyYR6Q21VydFLVH3TRQUabQu_ym0Zz7PgGX0-kHA/edit?usp=sharing"",""แผน!IG50"")"),342)</f>
        <v>342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IFERROR(__xludf.DUMMYFUNCTION("IMPORTRANGE(""https://docs.google.com/spreadsheets/d/1QqKyyYR6Q21VydFLVH3TRQUabQu_ym0Zz7PgGX0-kHA/edit?usp=sharing"",""แผน!IH50"")"),0)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IFERROR(__xludf.DUMMYFUNCTION("IMPORTRANGE(""https://docs.google.com/spreadsheets/d/1XWAQStnk-4SwqDmLtmXYiTMKHgktTP8We1SCoS47DrQ/edit?usp=sharing"",""จัดที่ดิน!BF50"")"),0)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IFERROR(__xludf.DUMMYFUNCTION("IMPORTRANGE(""https://docs.google.com/spreadsheets/d/1XWAQStnk-4SwqDmLtmXYiTMKHgktTP8We1SCoS47DrQ/edit?usp=sharing"",""จัดที่ดิน!BG50"")"),0)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IFERROR(__xludf.DUMMYFUNCTION("IMPORTRANGE(""https://docs.google.com/spreadsheets/d/1QqKyyYR6Q21VydFLVH3TRQUabQu_ym0Zz7PgGX0-kHA/edit?usp=sharing"",""แผน!II50"")"),44)</f>
        <v>44</v>
      </c>
      <c r="J720" s="892">
        <f ca="1">IFERROR(__xludf.DUMMYFUNCTION("IMPORTRANGE(""https://docs.google.com/spreadsheets/d/1XWAQStnk-4SwqDmLtmXYiTMKHgktTP8We1SCoS47DrQ/edit?usp=sharing"",""จัดที่ดิน!BH50"")"),0)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IFERROR(__xludf.DUMMYFUNCTION("IMPORTRANGE(""https://docs.google.com/spreadsheets/d/1QqKyyYR6Q21VydFLVH3TRQUabQu_ym0Zz7PgGX0-kHA/edit?usp=sharing"",""แผน!IJ50"")"),39)</f>
        <v>39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IFERROR(__xludf.DUMMYFUNCTION("IMPORTRANGE(""https://docs.google.com/spreadsheets/d/1QqKyyYR6Q21VydFLVH3TRQUabQu_ym0Zz7PgGX0-kHA/edit?usp=sharing"",""แผน!IK50"")"),410)</f>
        <v>410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IFERROR(__xludf.DUMMYFUNCTION("IMPORTRANGE(""https://docs.google.com/spreadsheets/d/1QqKyyYR6Q21VydFLVH3TRQUabQu_ym0Zz7PgGX0-kHA/edit?usp=sharing"",""แผน!IL50"")"),39)</f>
        <v>39</v>
      </c>
      <c r="J723" s="892">
        <f ca="1">IFERROR(__xludf.DUMMYFUNCTION("IMPORTRANGE(""https://docs.google.com/spreadsheets/d/1XWAQStnk-4SwqDmLtmXYiTMKHgktTP8We1SCoS47DrQ/edit?usp=sharing"",""จัดที่ดิน!BM50"")"),0)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IFERROR(__xludf.DUMMYFUNCTION("IMPORTRANGE(""https://docs.google.com/spreadsheets/d/1XWAQStnk-4SwqDmLtmXYiTMKHgktTP8We1SCoS47DrQ/edit?usp=sharing"",""จัดที่ดิน!BN50"")"),0)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IFERROR(__xludf.DUMMYFUNCTION("IMPORTRANGE(""https://docs.google.com/spreadsheets/d/1QqKyyYR6Q21VydFLVH3TRQUabQu_ym0Zz7PgGX0-kHA/edit?usp=sharing"",""แผน!IM50"")"),410)</f>
        <v>410</v>
      </c>
      <c r="J725" s="892">
        <f ca="1">IFERROR(__xludf.DUMMYFUNCTION("IMPORTRANGE(""https://docs.google.com/spreadsheets/d/1XWAQStnk-4SwqDmLtmXYiTMKHgktTP8We1SCoS47DrQ/edit?usp=sharing"",""จัดที่ดิน!BO50"")"),0)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IFERROR(__xludf.DUMMYFUNCTION("IMPORTRANGE(""https://docs.google.com/spreadsheets/d/1QqKyyYR6Q21VydFLVH3TRQUabQu_ym0Zz7PgGX0-kHA/edit?usp=sharing"",""แผน!IN50"")"),0)</f>
        <v>0</v>
      </c>
      <c r="J726" s="892">
        <f ca="1">IFERROR(__xludf.DUMMYFUNCTION("IMPORTRANGE(""https://docs.google.com/spreadsheets/d/1XWAQStnk-4SwqDmLtmXYiTMKHgktTP8We1SCoS47DrQ/edit?usp=sharing"",""จัดที่ดิน!BR50"")"),0)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IFERROR(__xludf.DUMMYFUNCTION("IMPORTRANGE(""https://docs.google.com/spreadsheets/d/1XWAQStnk-4SwqDmLtmXYiTMKHgktTP8We1SCoS47DrQ/edit?usp=sharing"",""จัดที่ดิน!BS50"")"),0)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IFERROR(__xludf.DUMMYFUNCTION("IMPORTRANGE(""https://docs.google.com/spreadsheets/d/1QqKyyYR6Q21VydFLVH3TRQUabQu_ym0Zz7PgGX0-kHA/edit?usp=sharing"",""แผน!IO50"")"),0)</f>
        <v>0</v>
      </c>
      <c r="J728" s="892">
        <f ca="1">IFERROR(__xludf.DUMMYFUNCTION("IMPORTRANGE(""https://docs.google.com/spreadsheets/d/1XWAQStnk-4SwqDmLtmXYiTMKHgktTP8We1SCoS47DrQ/edit?usp=sharing"",""จัดที่ดิน!BT50"")"),0)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IFERROR(__xludf.DUMMYFUNCTION("IMPORTRANGE(""https://docs.google.com/spreadsheets/d/1QqKyyYR6Q21VydFLVH3TRQUabQu_ym0Zz7PgGX0-kHA/edit?usp=sharing"",""แผน!IP50"")"),663)</f>
        <v>663</v>
      </c>
      <c r="J729" s="1031">
        <f>J732+J735</f>
        <v>362</v>
      </c>
      <c r="K729" s="1032">
        <f t="shared" ca="1" si="293"/>
        <v>54.600301659125186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34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34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362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 hidden="1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1483" t="s">
        <v>46</v>
      </c>
      <c r="I785" s="1484">
        <f t="shared" ref="I785:J785" ca="1" si="318">I800</f>
        <v>0</v>
      </c>
      <c r="J785" s="1485">
        <f t="shared" ca="1" si="318"/>
        <v>0</v>
      </c>
      <c r="K785" s="1486">
        <f ca="1">IF(I785&gt;0,J785*100/I785,0)</f>
        <v>0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 hidden="1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596" t="s">
        <v>12</v>
      </c>
      <c r="I786" s="892"/>
      <c r="J786" s="892"/>
      <c r="K786" s="893"/>
      <c r="L786" s="1032">
        <f t="shared" ref="L786:N786" ca="1" si="319">L787+L788</f>
        <v>0</v>
      </c>
      <c r="M786" s="1032">
        <f t="shared" si="319"/>
        <v>0</v>
      </c>
      <c r="N786" s="1032">
        <f t="shared" si="319"/>
        <v>0</v>
      </c>
      <c r="O786" s="1032">
        <f t="shared" ref="O786:O791" ca="1" si="320">IF(L786&gt;0,N786*100/L786,0)</f>
        <v>0</v>
      </c>
      <c r="P786" s="1032">
        <f t="shared" ref="P786:P791" si="321">IF(M786&gt;0,N786*100/M786,0)</f>
        <v>0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165" t="s">
        <v>12</v>
      </c>
      <c r="I787" s="898"/>
      <c r="J787" s="898"/>
      <c r="K787" s="899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165" t="s">
        <v>12</v>
      </c>
      <c r="I788" s="898"/>
      <c r="J788" s="898"/>
      <c r="K788" s="899"/>
      <c r="L788" s="899">
        <f t="shared" ca="1" si="322"/>
        <v>0</v>
      </c>
      <c r="M788" s="899">
        <f t="shared" si="322"/>
        <v>0</v>
      </c>
      <c r="N788" s="899">
        <f t="shared" si="322"/>
        <v>0</v>
      </c>
      <c r="O788" s="899">
        <f t="shared" ca="1" si="320"/>
        <v>0</v>
      </c>
      <c r="P788" s="899">
        <f t="shared" si="321"/>
        <v>0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 hidden="1">
      <c r="A789" s="1329"/>
      <c r="B789" s="1312"/>
      <c r="C789" s="1312"/>
      <c r="D789" s="1337" t="s">
        <v>20</v>
      </c>
      <c r="E789" s="1313"/>
      <c r="F789" s="1313"/>
      <c r="G789" s="1028"/>
      <c r="H789" s="161" t="s">
        <v>12</v>
      </c>
      <c r="I789" s="1009"/>
      <c r="J789" s="1009"/>
      <c r="K789" s="1010"/>
      <c r="L789" s="893">
        <f t="shared" ref="L789:N789" ca="1" si="323">L790+L791</f>
        <v>0</v>
      </c>
      <c r="M789" s="893">
        <f t="shared" si="323"/>
        <v>0</v>
      </c>
      <c r="N789" s="893">
        <f t="shared" si="323"/>
        <v>0</v>
      </c>
      <c r="O789" s="893">
        <f t="shared" ca="1" si="320"/>
        <v>0</v>
      </c>
      <c r="P789" s="893">
        <f t="shared" si="321"/>
        <v>0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165" t="s">
        <v>12</v>
      </c>
      <c r="I790" s="898"/>
      <c r="J790" s="898"/>
      <c r="K790" s="899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165" t="s">
        <v>12</v>
      </c>
      <c r="I791" s="898"/>
      <c r="J791" s="898"/>
      <c r="K791" s="899"/>
      <c r="L791" s="899">
        <f ca="1">IFERROR(__xludf.DUMMYFUNCTION("IMPORTRANGE(""https://docs.google.com/spreadsheets/d/1QqKyyYR6Q21VydFLVH3TRQUabQu_ym0Zz7PgGX0-kHA/edit?usp=sharing"",""แผน!JJ50"")"),0)</f>
        <v>0</v>
      </c>
      <c r="M791" s="899">
        <v>0</v>
      </c>
      <c r="N791" s="899">
        <f>N792+N793+N794+N795</f>
        <v>0</v>
      </c>
      <c r="O791" s="899">
        <f t="shared" ca="1" si="320"/>
        <v>0</v>
      </c>
      <c r="P791" s="899">
        <f t="shared" si="321"/>
        <v>0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 hidden="1">
      <c r="A792" s="1311"/>
      <c r="B792" s="1312"/>
      <c r="C792" s="1313"/>
      <c r="D792" s="1313"/>
      <c r="E792" s="1313"/>
      <c r="F792" s="1313" t="s">
        <v>187</v>
      </c>
      <c r="G792" s="1028"/>
      <c r="H792" s="161" t="s">
        <v>12</v>
      </c>
      <c r="I792" s="892"/>
      <c r="J792" s="892"/>
      <c r="K792" s="893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 hidden="1">
      <c r="A793" s="1311"/>
      <c r="B793" s="1312"/>
      <c r="C793" s="1313"/>
      <c r="D793" s="1313"/>
      <c r="E793" s="1313"/>
      <c r="F793" s="1313" t="s">
        <v>188</v>
      </c>
      <c r="G793" s="1028"/>
      <c r="H793" s="161" t="s">
        <v>12</v>
      </c>
      <c r="I793" s="892"/>
      <c r="J793" s="892"/>
      <c r="K793" s="893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 hidden="1">
      <c r="A794" s="1311"/>
      <c r="B794" s="1312"/>
      <c r="C794" s="1313"/>
      <c r="D794" s="1313"/>
      <c r="E794" s="1313"/>
      <c r="F794" s="1313" t="s">
        <v>189</v>
      </c>
      <c r="G794" s="1028"/>
      <c r="H794" s="161" t="s">
        <v>12</v>
      </c>
      <c r="I794" s="892"/>
      <c r="J794" s="892"/>
      <c r="K794" s="893"/>
      <c r="L794" s="893"/>
      <c r="M794" s="893"/>
      <c r="N794" s="1096">
        <v>0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 hidden="1">
      <c r="A795" s="1311"/>
      <c r="B795" s="1312"/>
      <c r="C795" s="1313"/>
      <c r="D795" s="1313"/>
      <c r="E795" s="1313"/>
      <c r="F795" s="1313" t="s">
        <v>190</v>
      </c>
      <c r="G795" s="1028"/>
      <c r="H795" s="161" t="s">
        <v>12</v>
      </c>
      <c r="I795" s="892"/>
      <c r="J795" s="892"/>
      <c r="K795" s="893"/>
      <c r="L795" s="893"/>
      <c r="M795" s="893"/>
      <c r="N795" s="1096">
        <v>0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 hidden="1">
      <c r="A796" s="1329"/>
      <c r="B796" s="1312"/>
      <c r="C796" s="1313"/>
      <c r="D796" s="1337" t="s">
        <v>21</v>
      </c>
      <c r="E796" s="1313"/>
      <c r="F796" s="1313"/>
      <c r="G796" s="1028"/>
      <c r="H796" s="168" t="s">
        <v>12</v>
      </c>
      <c r="I796" s="1009"/>
      <c r="J796" s="1009"/>
      <c r="K796" s="1010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165" t="s">
        <v>12</v>
      </c>
      <c r="I797" s="1012"/>
      <c r="J797" s="1012"/>
      <c r="K797" s="10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169" t="s">
        <v>12</v>
      </c>
      <c r="I798" s="1012"/>
      <c r="J798" s="1012"/>
      <c r="K798" s="10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 hidden="1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488"/>
      <c r="I799" s="1009"/>
      <c r="J799" s="1009"/>
      <c r="K799" s="1010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 hidden="1">
      <c r="A800" s="1338"/>
      <c r="B800" s="1339"/>
      <c r="C800" s="1339"/>
      <c r="D800" s="1339"/>
      <c r="E800" s="1026"/>
      <c r="F800" s="1026" t="s">
        <v>321</v>
      </c>
      <c r="G800" s="1019"/>
      <c r="H800" s="185" t="s">
        <v>46</v>
      </c>
      <c r="I800" s="1009">
        <f ca="1">IFERROR(__xludf.DUMMYFUNCTION("IMPORTRANGE(""https://docs.google.com/spreadsheets/d/1QqKyyYR6Q21VydFLVH3TRQUabQu_ym0Zz7PgGX0-kHA/edit?usp=sharing"",""แผน!JN50"")"),0)</f>
        <v>0</v>
      </c>
      <c r="J800" s="1009">
        <f ca="1">IFERROR(__xludf.DUMMYFUNCTION("IMPORTRANGE(""https://docs.google.com/spreadsheets/d/1MaWodYyGHDf7siQLGxnXhG4mBNTNIuy296niS2xXulU/edit?usp=sharing"",""RTK!H50"")"),0)</f>
        <v>0</v>
      </c>
      <c r="K800" s="893">
        <f ca="1">IF(I800&gt;0,J800*100/I800,0)</f>
        <v>0</v>
      </c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 hidden="1">
      <c r="A801" s="1338"/>
      <c r="B801" s="1339"/>
      <c r="C801" s="1339"/>
      <c r="D801" s="1339"/>
      <c r="E801" s="1026"/>
      <c r="F801" s="1026"/>
      <c r="G801" s="1019"/>
      <c r="H801" s="161" t="s">
        <v>34</v>
      </c>
      <c r="I801" s="1009"/>
      <c r="J801" s="892">
        <f ca="1">IFERROR(__xludf.DUMMYFUNCTION("IMPORTRANGE(""https://docs.google.com/spreadsheets/d/1MaWodYyGHDf7siQLGxnXhG4mBNTNIuy296niS2xXulU/edit?usp=sharing"",""RTK!I50"")"),0)</f>
        <v>0</v>
      </c>
      <c r="K801" s="893"/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 hidden="1">
      <c r="A802" s="1344"/>
      <c r="B802" s="1345"/>
      <c r="C802" s="1345"/>
      <c r="D802" s="1345"/>
      <c r="E802" s="1333"/>
      <c r="F802" s="1333" t="s">
        <v>322</v>
      </c>
      <c r="G802" s="1124"/>
      <c r="H802" s="650" t="s">
        <v>46</v>
      </c>
      <c r="I802" s="1012"/>
      <c r="J802" s="898">
        <v>0</v>
      </c>
      <c r="K802" s="1013">
        <f>IF(I802&gt;0,J802*100/I802,0)</f>
        <v>0</v>
      </c>
      <c r="L802" s="1013"/>
      <c r="M802" s="1013"/>
      <c r="N802" s="1013"/>
      <c r="O802" s="1013"/>
      <c r="P802" s="1013"/>
      <c r="Q802" s="1335"/>
      <c r="R802" s="1335"/>
      <c r="S802" s="1335"/>
      <c r="T802" s="1335"/>
      <c r="U802" s="1335"/>
      <c r="V802" s="1335"/>
      <c r="W802" s="1335"/>
      <c r="X802" s="1335"/>
      <c r="Y802" s="1335"/>
      <c r="Z802" s="1335"/>
    </row>
    <row r="803" spans="1:26" ht="18.75" hidden="1">
      <c r="A803" s="1344"/>
      <c r="B803" s="1345"/>
      <c r="C803" s="1345"/>
      <c r="D803" s="1345"/>
      <c r="E803" s="1333"/>
      <c r="F803" s="1333"/>
      <c r="G803" s="1124"/>
      <c r="H803" s="650" t="s">
        <v>34</v>
      </c>
      <c r="I803" s="1012"/>
      <c r="J803" s="898">
        <v>0</v>
      </c>
      <c r="K803" s="1013"/>
      <c r="L803" s="1013"/>
      <c r="M803" s="1013"/>
      <c r="N803" s="1013"/>
      <c r="O803" s="1013"/>
      <c r="P803" s="1013"/>
      <c r="Q803" s="1335"/>
      <c r="R803" s="1335"/>
      <c r="S803" s="1335"/>
      <c r="T803" s="1335"/>
      <c r="U803" s="1335"/>
      <c r="V803" s="1335"/>
      <c r="W803" s="1335"/>
      <c r="X803" s="1335"/>
      <c r="Y803" s="1335"/>
      <c r="Z803" s="1335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>IF(I804&gt;0,J804*100/I804,0)</f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7">L806+L807</f>
        <v>0</v>
      </c>
      <c r="M805" s="1364">
        <f t="shared" si="327"/>
        <v>0</v>
      </c>
      <c r="N805" s="1364">
        <f t="shared" si="327"/>
        <v>0</v>
      </c>
      <c r="O805" s="1364">
        <f t="shared" ref="O805:O810" si="328">IF(L805&gt;0,N805*100/L805,0)</f>
        <v>0</v>
      </c>
      <c r="P805" s="1364">
        <f t="shared" ref="P805:P810" si="329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0">L809+L816</f>
        <v>0</v>
      </c>
      <c r="M806" s="899">
        <f t="shared" si="330"/>
        <v>0</v>
      </c>
      <c r="N806" s="899">
        <f t="shared" si="330"/>
        <v>0</v>
      </c>
      <c r="O806" s="899">
        <f t="shared" si="328"/>
        <v>0</v>
      </c>
      <c r="P806" s="899">
        <f t="shared" si="329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0"/>
        <v>0</v>
      </c>
      <c r="M807" s="899">
        <f t="shared" si="330"/>
        <v>0</v>
      </c>
      <c r="N807" s="899">
        <f t="shared" si="330"/>
        <v>0</v>
      </c>
      <c r="O807" s="899">
        <f t="shared" si="328"/>
        <v>0</v>
      </c>
      <c r="P807" s="899">
        <f t="shared" si="329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1">L809+L810</f>
        <v>0</v>
      </c>
      <c r="M808" s="1364">
        <f t="shared" si="331"/>
        <v>0</v>
      </c>
      <c r="N808" s="1364">
        <f t="shared" si="331"/>
        <v>0</v>
      </c>
      <c r="O808" s="1364">
        <f t="shared" si="328"/>
        <v>0</v>
      </c>
      <c r="P808" s="1364">
        <f t="shared" si="329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8"/>
        <v>0</v>
      </c>
      <c r="P809" s="899">
        <f t="shared" si="329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8"/>
        <v>0</v>
      </c>
      <c r="P810" s="899">
        <f t="shared" si="329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2">L816+L817</f>
        <v>0</v>
      </c>
      <c r="M815" s="1364">
        <f t="shared" si="332"/>
        <v>0</v>
      </c>
      <c r="N815" s="1364">
        <f t="shared" si="332"/>
        <v>0</v>
      </c>
      <c r="O815" s="1364">
        <f t="shared" ref="O815:O817" si="333">IF(L815&gt;0,N815*100/L815,0)</f>
        <v>0</v>
      </c>
      <c r="P815" s="1364">
        <f t="shared" ref="P815:P817" si="334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3"/>
        <v>0</v>
      </c>
      <c r="P816" s="899">
        <f t="shared" si="334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3"/>
        <v>0</v>
      </c>
      <c r="P817" s="899">
        <f t="shared" si="334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892">
        <f ca="1">IFERROR(__xludf.DUMMYFUNCTION("IMPORTRANGE(""https://docs.google.com/spreadsheets/d/19vJNZY_5yjcGF2XGBMNZRCAIB0Kwfpjp8YEOfu-bneM/edit?usp=sharing"",""งานกองทุน!F50"")"),2555644.14)</f>
        <v>2555644.14</v>
      </c>
      <c r="K821" s="893">
        <f t="shared" ref="K821:K828" ca="1" si="335">IF(I821&gt;0,J821*100/I821,0)</f>
        <v>54.177265757424927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IFERROR(__xludf.DUMMYFUNCTION("IMPORTRANGE(""https://docs.google.com/spreadsheets/d/19vJNZY_5yjcGF2XGBMNZRCAIB0Kwfpjp8YEOfu-bneM/edit?usp=sharing"",""งานกองทุน!C50"")"),344)</f>
        <v>344</v>
      </c>
      <c r="J822" s="892">
        <f ca="1">IFERROR(__xludf.DUMMYFUNCTION("IMPORTRANGE(""https://docs.google.com/spreadsheets/d/19vJNZY_5yjcGF2XGBMNZRCAIB0Kwfpjp8YEOfu-bneM/edit?usp=sharing"",""งานกองทุน!E50"")"),172)</f>
        <v>172</v>
      </c>
      <c r="K822" s="893">
        <f t="shared" ca="1" si="335"/>
        <v>50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892">
        <f ca="1">IFERROR(__xludf.DUMMYFUNCTION("IMPORTRANGE(""https://docs.google.com/spreadsheets/d/19vJNZY_5yjcGF2XGBMNZRCAIB0Kwfpjp8YEOfu-bneM/edit?usp=sharing"",""งานกองทุน!K50"")"),572134.51)</f>
        <v>572134.51</v>
      </c>
      <c r="K823" s="893">
        <f t="shared" ca="1" si="335"/>
        <v>23.366622152008873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IFERROR(__xludf.DUMMYFUNCTION("IMPORTRANGE(""https://docs.google.com/spreadsheets/d/19vJNZY_5yjcGF2XGBMNZRCAIB0Kwfpjp8YEOfu-bneM/edit?usp=sharing"",""งานกองทุน!H50"")"),135)</f>
        <v>135</v>
      </c>
      <c r="J824" s="892">
        <f ca="1">IFERROR(__xludf.DUMMYFUNCTION("IMPORTRANGE(""https://docs.google.com/spreadsheets/d/19vJNZY_5yjcGF2XGBMNZRCAIB0Kwfpjp8YEOfu-bneM/edit?usp=sharing"",""งานกองทุน!J50"")"),37)</f>
        <v>37</v>
      </c>
      <c r="K824" s="893">
        <f t="shared" ca="1" si="335"/>
        <v>27.407407407407408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IFERROR(__xludf.DUMMYFUNCTION("IMPORTRANGE(""https://docs.google.com/spreadsheets/d/19vJNZY_5yjcGF2XGBMNZRCAIB0Kwfpjp8YEOfu-bneM/edit?usp=sharing"",""งานกองทุน!N50"")"),323073.26)</f>
        <v>323073.26</v>
      </c>
      <c r="J825" s="892">
        <f ca="1">IFERROR(__xludf.DUMMYFUNCTION("IMPORTRANGE(""https://docs.google.com/spreadsheets/d/19vJNZY_5yjcGF2XGBMNZRCAIB0Kwfpjp8YEOfu-bneM/edit?usp=sharing"",""งานกองทุน!P50"")"),62465.05)</f>
        <v>62465.05</v>
      </c>
      <c r="K825" s="893">
        <f t="shared" ca="1" si="335"/>
        <v>19.334639456078786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IFERROR(__xludf.DUMMYFUNCTION("IMPORTRANGE(""https://docs.google.com/spreadsheets/d/19vJNZY_5yjcGF2XGBMNZRCAIB0Kwfpjp8YEOfu-bneM/edit?usp=sharing"",""งานกองทุน!M50"")"),16)</f>
        <v>16</v>
      </c>
      <c r="J826" s="892">
        <f ca="1">IFERROR(__xludf.DUMMYFUNCTION("IMPORTRANGE(""https://docs.google.com/spreadsheets/d/19vJNZY_5yjcGF2XGBMNZRCAIB0Kwfpjp8YEOfu-bneM/edit?usp=sharing"",""งานกองทุน!O50"")"),28)</f>
        <v>28</v>
      </c>
      <c r="K826" s="893">
        <f t="shared" ca="1" si="335"/>
        <v>175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IFERROR(__xludf.DUMMYFUNCTION("IMPORTRANGE(""https://docs.google.com/spreadsheets/d/19vJNZY_5yjcGF2XGBMNZRCAIB0Kwfpjp8YEOfu-bneM/edit?usp=sharing"",""งานกองทุน!S50"")"),6100000)</f>
        <v>6100000</v>
      </c>
      <c r="J827" s="892">
        <f ca="1">IFERROR(__xludf.DUMMYFUNCTION("IMPORTRANGE(""https://docs.google.com/spreadsheets/d/19vJNZY_5yjcGF2XGBMNZRCAIB0Kwfpjp8YEOfu-bneM/edit?usp=sharing"",""งานกองทุน!U50"")"),2250000)</f>
        <v>2250000</v>
      </c>
      <c r="K827" s="893">
        <f t="shared" ca="1" si="335"/>
        <v>36.885245901639344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IFERROR(__xludf.DUMMYFUNCTION("IMPORTRANGE(""https://docs.google.com/spreadsheets/d/19vJNZY_5yjcGF2XGBMNZRCAIB0Kwfpjp8YEOfu-bneM/edit?usp=sharing"",""งานกองทุน!R50"")"),244)</f>
        <v>244</v>
      </c>
      <c r="J828" s="1149">
        <f ca="1">IFERROR(__xludf.DUMMYFUNCTION("IMPORTRANGE(""https://docs.google.com/spreadsheets/d/19vJNZY_5yjcGF2XGBMNZRCAIB0Kwfpjp8YEOfu-bneM/edit?usp=sharing"",""งานกองทุน!T50"")"),81)</f>
        <v>81</v>
      </c>
      <c r="K828" s="1251">
        <f t="shared" ca="1" si="335"/>
        <v>33.196721311475407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6136-1BF6-45F5-8340-AC89259A0F21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4" customWidth="1"/>
    <col min="4" max="6" width="5.85546875" style="864" customWidth="1"/>
    <col min="7" max="7" width="56.42578125" style="864" customWidth="1"/>
    <col min="8" max="8" width="9.42578125" style="864" customWidth="1"/>
    <col min="9" max="10" width="16.140625" style="864" bestFit="1" customWidth="1"/>
    <col min="11" max="11" width="12" style="864" bestFit="1" customWidth="1"/>
    <col min="12" max="15" width="20.28515625" style="864" bestFit="1" customWidth="1"/>
    <col min="16" max="16" width="22.140625" style="864" bestFit="1" customWidth="1"/>
    <col min="17" max="16384" width="12.5703125" style="864"/>
  </cols>
  <sheetData>
    <row r="1" spans="1:26" ht="19.5">
      <c r="A1" s="840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40" t="s">
        <v>358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40" t="s">
        <v>330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</row>
    <row r="4" spans="1:26" ht="12.75">
      <c r="A4" s="865"/>
      <c r="B4" s="865"/>
      <c r="C4" s="865"/>
      <c r="D4" s="865"/>
      <c r="E4" s="865"/>
      <c r="F4" s="865"/>
      <c r="G4" s="865"/>
      <c r="H4" s="865"/>
      <c r="I4" s="865"/>
      <c r="J4" s="866"/>
      <c r="K4" s="867"/>
      <c r="L4" s="866"/>
      <c r="M4" s="866"/>
      <c r="N4" s="866"/>
      <c r="O4" s="865"/>
      <c r="P4" s="865"/>
    </row>
    <row r="5" spans="1:26" ht="19.5">
      <c r="A5" s="848" t="s">
        <v>2</v>
      </c>
      <c r="B5" s="863"/>
      <c r="C5" s="863"/>
      <c r="D5" s="863"/>
      <c r="E5" s="863"/>
      <c r="F5" s="863"/>
      <c r="G5" s="849"/>
      <c r="H5" s="842" t="s">
        <v>3</v>
      </c>
      <c r="I5" s="844" t="s">
        <v>4</v>
      </c>
      <c r="J5" s="845"/>
      <c r="K5" s="843"/>
      <c r="L5" s="846" t="s">
        <v>5</v>
      </c>
      <c r="M5" s="843"/>
      <c r="N5" s="847" t="s">
        <v>6</v>
      </c>
      <c r="O5" s="845"/>
      <c r="P5" s="843"/>
    </row>
    <row r="6" spans="1:26" ht="19.5">
      <c r="A6" s="850"/>
      <c r="B6" s="845"/>
      <c r="C6" s="845"/>
      <c r="D6" s="845"/>
      <c r="E6" s="845"/>
      <c r="F6" s="845"/>
      <c r="G6" s="843"/>
      <c r="H6" s="8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8" t="s">
        <v>15</v>
      </c>
      <c r="B7" s="845"/>
      <c r="C7" s="845"/>
      <c r="D7" s="845"/>
      <c r="E7" s="845"/>
      <c r="F7" s="845"/>
      <c r="G7" s="843"/>
      <c r="H7" s="869"/>
      <c r="I7" s="870"/>
      <c r="J7" s="870"/>
      <c r="K7" s="871"/>
      <c r="L7" s="871"/>
      <c r="M7" s="871"/>
      <c r="N7" s="871"/>
      <c r="O7" s="871"/>
      <c r="P7" s="871"/>
    </row>
    <row r="8" spans="1:26" ht="19.5">
      <c r="A8" s="872"/>
      <c r="B8" s="873"/>
      <c r="C8" s="874" t="s">
        <v>16</v>
      </c>
      <c r="D8" s="875" t="s">
        <v>17</v>
      </c>
      <c r="E8" s="873"/>
      <c r="F8" s="873"/>
      <c r="G8" s="876"/>
      <c r="H8" s="19" t="s">
        <v>12</v>
      </c>
      <c r="I8" s="877"/>
      <c r="J8" s="877"/>
      <c r="K8" s="878"/>
      <c r="L8" s="879">
        <f t="shared" ref="L8:N8" ca="1" si="0">L9+L10</f>
        <v>9554361</v>
      </c>
      <c r="M8" s="879">
        <f t="shared" ca="1" si="0"/>
        <v>8566129</v>
      </c>
      <c r="N8" s="879">
        <f t="shared" ca="1" si="0"/>
        <v>5925299.9700000007</v>
      </c>
      <c r="O8" s="879">
        <f t="shared" ref="O8:O16" ca="1" si="1">IF(L8&gt;0,N8*100/L8,0)</f>
        <v>62.016705983791077</v>
      </c>
      <c r="P8" s="879">
        <f t="shared" ref="P8:P16" ca="1" si="2">IF(M8&gt;0,N8*100/M8,0)</f>
        <v>69.171267091588291</v>
      </c>
      <c r="Q8" s="880"/>
      <c r="R8" s="880"/>
      <c r="S8" s="880"/>
      <c r="T8" s="880"/>
      <c r="U8" s="880"/>
      <c r="V8" s="880"/>
      <c r="W8" s="880"/>
      <c r="X8" s="880"/>
      <c r="Y8" s="880"/>
      <c r="Z8" s="880"/>
    </row>
    <row r="9" spans="1:26" ht="18.75" hidden="1">
      <c r="A9" s="881"/>
      <c r="B9" s="882"/>
      <c r="C9" s="882"/>
      <c r="D9" s="882"/>
      <c r="E9" s="883" t="s">
        <v>18</v>
      </c>
      <c r="F9" s="882"/>
      <c r="G9" s="884"/>
      <c r="H9" s="28" t="s">
        <v>12</v>
      </c>
      <c r="I9" s="885"/>
      <c r="J9" s="885"/>
      <c r="K9" s="886"/>
      <c r="L9" s="886">
        <f t="shared" ref="L9:N10" si="3">L12+L15</f>
        <v>0</v>
      </c>
      <c r="M9" s="886">
        <f t="shared" si="3"/>
        <v>0</v>
      </c>
      <c r="N9" s="886">
        <f t="shared" si="3"/>
        <v>0</v>
      </c>
      <c r="O9" s="886">
        <f t="shared" si="1"/>
        <v>0</v>
      </c>
      <c r="P9" s="886">
        <f t="shared" si="2"/>
        <v>0</v>
      </c>
      <c r="Q9" s="887"/>
      <c r="R9" s="887"/>
      <c r="S9" s="887"/>
      <c r="T9" s="887"/>
      <c r="U9" s="887"/>
      <c r="V9" s="887"/>
      <c r="W9" s="887"/>
      <c r="X9" s="887"/>
      <c r="Y9" s="887"/>
      <c r="Z9" s="887"/>
    </row>
    <row r="10" spans="1:26" ht="18.75" hidden="1">
      <c r="A10" s="881"/>
      <c r="B10" s="882"/>
      <c r="C10" s="882"/>
      <c r="D10" s="882"/>
      <c r="E10" s="883" t="s">
        <v>19</v>
      </c>
      <c r="F10" s="882"/>
      <c r="G10" s="884"/>
      <c r="H10" s="28" t="s">
        <v>12</v>
      </c>
      <c r="I10" s="885"/>
      <c r="J10" s="885"/>
      <c r="K10" s="886"/>
      <c r="L10" s="886">
        <f t="shared" ca="1" si="3"/>
        <v>9554361</v>
      </c>
      <c r="M10" s="886">
        <f t="shared" ca="1" si="3"/>
        <v>8566129</v>
      </c>
      <c r="N10" s="886">
        <f t="shared" ca="1" si="3"/>
        <v>5925299.9700000007</v>
      </c>
      <c r="O10" s="886">
        <f t="shared" ca="1" si="1"/>
        <v>62.016705983791077</v>
      </c>
      <c r="P10" s="886">
        <f t="shared" ca="1" si="2"/>
        <v>69.171267091588291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</row>
    <row r="11" spans="1:26" ht="18.75">
      <c r="A11" s="888"/>
      <c r="B11" s="889"/>
      <c r="C11" s="889"/>
      <c r="D11" s="890" t="s">
        <v>20</v>
      </c>
      <c r="E11" s="889"/>
      <c r="F11" s="889"/>
      <c r="G11" s="891"/>
      <c r="H11" s="621" t="s">
        <v>12</v>
      </c>
      <c r="I11" s="892"/>
      <c r="J11" s="892"/>
      <c r="K11" s="893"/>
      <c r="L11" s="893">
        <f t="shared" ref="L11:N11" ca="1" si="4">L12+L13</f>
        <v>8579361</v>
      </c>
      <c r="M11" s="893">
        <f t="shared" ca="1" si="4"/>
        <v>7622137</v>
      </c>
      <c r="N11" s="893">
        <f t="shared" ca="1" si="4"/>
        <v>4981307.9700000007</v>
      </c>
      <c r="O11" s="893">
        <f t="shared" ca="1" si="1"/>
        <v>58.061526610198598</v>
      </c>
      <c r="P11" s="893">
        <f t="shared" ca="1" si="2"/>
        <v>65.353167622151119</v>
      </c>
      <c r="Q11" s="880"/>
      <c r="R11" s="880"/>
      <c r="S11" s="880"/>
      <c r="T11" s="880"/>
      <c r="U11" s="880"/>
      <c r="V11" s="880"/>
      <c r="W11" s="880"/>
      <c r="X11" s="880"/>
      <c r="Y11" s="880"/>
      <c r="Z11" s="880"/>
    </row>
    <row r="12" spans="1:26" ht="18.75" hidden="1">
      <c r="A12" s="894"/>
      <c r="B12" s="895"/>
      <c r="C12" s="895"/>
      <c r="D12" s="895"/>
      <c r="E12" s="896" t="s">
        <v>18</v>
      </c>
      <c r="F12" s="895"/>
      <c r="G12" s="897"/>
      <c r="H12" s="43" t="s">
        <v>12</v>
      </c>
      <c r="I12" s="898"/>
      <c r="J12" s="898"/>
      <c r="K12" s="899"/>
      <c r="L12" s="899">
        <f t="shared" ref="L12:N13" si="5">L22+L32</f>
        <v>0</v>
      </c>
      <c r="M12" s="899">
        <f t="shared" si="5"/>
        <v>0</v>
      </c>
      <c r="N12" s="899">
        <f t="shared" si="5"/>
        <v>0</v>
      </c>
      <c r="O12" s="899">
        <f t="shared" si="1"/>
        <v>0</v>
      </c>
      <c r="P12" s="899">
        <f t="shared" si="2"/>
        <v>0</v>
      </c>
      <c r="Q12" s="887"/>
      <c r="R12" s="887"/>
      <c r="S12" s="887"/>
      <c r="T12" s="887"/>
      <c r="U12" s="887"/>
      <c r="V12" s="887"/>
      <c r="W12" s="887"/>
      <c r="X12" s="887"/>
      <c r="Y12" s="887"/>
      <c r="Z12" s="887"/>
    </row>
    <row r="13" spans="1:26" ht="18.75" hidden="1">
      <c r="A13" s="894"/>
      <c r="B13" s="895"/>
      <c r="C13" s="895"/>
      <c r="D13" s="895"/>
      <c r="E13" s="896" t="s">
        <v>19</v>
      </c>
      <c r="F13" s="895"/>
      <c r="G13" s="897"/>
      <c r="H13" s="43" t="s">
        <v>12</v>
      </c>
      <c r="I13" s="898"/>
      <c r="J13" s="898"/>
      <c r="K13" s="899"/>
      <c r="L13" s="899">
        <f t="shared" ca="1" si="5"/>
        <v>8579361</v>
      </c>
      <c r="M13" s="899">
        <f t="shared" ca="1" si="5"/>
        <v>7622137</v>
      </c>
      <c r="N13" s="899">
        <f t="shared" ca="1" si="5"/>
        <v>4981307.9700000007</v>
      </c>
      <c r="O13" s="899">
        <f t="shared" ca="1" si="1"/>
        <v>58.061526610198598</v>
      </c>
      <c r="P13" s="899">
        <f t="shared" ca="1" si="2"/>
        <v>65.353167622151119</v>
      </c>
      <c r="Q13" s="887"/>
      <c r="R13" s="887"/>
      <c r="S13" s="887"/>
      <c r="T13" s="887"/>
      <c r="U13" s="887"/>
      <c r="V13" s="887"/>
      <c r="W13" s="887"/>
      <c r="X13" s="887"/>
      <c r="Y13" s="887"/>
      <c r="Z13" s="887"/>
    </row>
    <row r="14" spans="1:26" ht="18.75">
      <c r="A14" s="888"/>
      <c r="B14" s="889"/>
      <c r="C14" s="889"/>
      <c r="D14" s="890" t="s">
        <v>21</v>
      </c>
      <c r="E14" s="889"/>
      <c r="F14" s="889"/>
      <c r="G14" s="891"/>
      <c r="H14" s="621" t="s">
        <v>12</v>
      </c>
      <c r="I14" s="892"/>
      <c r="J14" s="892"/>
      <c r="K14" s="893"/>
      <c r="L14" s="893">
        <f t="shared" ref="L14:N14" ca="1" si="6">L15+L16</f>
        <v>975000</v>
      </c>
      <c r="M14" s="893">
        <f t="shared" ca="1" si="6"/>
        <v>943992</v>
      </c>
      <c r="N14" s="893">
        <f t="shared" ca="1" si="6"/>
        <v>943992</v>
      </c>
      <c r="O14" s="893">
        <f t="shared" ca="1" si="1"/>
        <v>96.819692307692307</v>
      </c>
      <c r="P14" s="893">
        <f t="shared" ca="1" si="2"/>
        <v>100</v>
      </c>
      <c r="Q14" s="880"/>
      <c r="R14" s="880"/>
      <c r="S14" s="880"/>
      <c r="T14" s="880"/>
      <c r="U14" s="880"/>
      <c r="V14" s="880"/>
      <c r="W14" s="880"/>
      <c r="X14" s="880"/>
      <c r="Y14" s="880"/>
      <c r="Z14" s="880"/>
    </row>
    <row r="15" spans="1:26" ht="18.75" hidden="1">
      <c r="A15" s="894"/>
      <c r="B15" s="895"/>
      <c r="C15" s="895"/>
      <c r="D15" s="895"/>
      <c r="E15" s="896" t="s">
        <v>18</v>
      </c>
      <c r="F15" s="895"/>
      <c r="G15" s="897"/>
      <c r="H15" s="43" t="s">
        <v>12</v>
      </c>
      <c r="I15" s="898"/>
      <c r="J15" s="898"/>
      <c r="K15" s="899"/>
      <c r="L15" s="899">
        <f t="shared" ref="L15:N16" si="7">L25+L35</f>
        <v>0</v>
      </c>
      <c r="M15" s="899">
        <f t="shared" si="7"/>
        <v>0</v>
      </c>
      <c r="N15" s="899">
        <f t="shared" si="7"/>
        <v>0</v>
      </c>
      <c r="O15" s="899">
        <f t="shared" si="1"/>
        <v>0</v>
      </c>
      <c r="P15" s="899">
        <f t="shared" si="2"/>
        <v>0</v>
      </c>
      <c r="Q15" s="887"/>
      <c r="R15" s="887"/>
      <c r="S15" s="887"/>
      <c r="T15" s="887"/>
      <c r="U15" s="887"/>
      <c r="V15" s="887"/>
      <c r="W15" s="887"/>
      <c r="X15" s="887"/>
      <c r="Y15" s="887"/>
      <c r="Z15" s="887"/>
    </row>
    <row r="16" spans="1:26" ht="18.75" hidden="1">
      <c r="A16" s="900"/>
      <c r="B16" s="901"/>
      <c r="C16" s="901"/>
      <c r="D16" s="901"/>
      <c r="E16" s="902" t="s">
        <v>19</v>
      </c>
      <c r="F16" s="901"/>
      <c r="G16" s="903"/>
      <c r="H16" s="50" t="s">
        <v>12</v>
      </c>
      <c r="I16" s="904"/>
      <c r="J16" s="904"/>
      <c r="K16" s="905"/>
      <c r="L16" s="905">
        <f t="shared" ca="1" si="7"/>
        <v>975000</v>
      </c>
      <c r="M16" s="905">
        <f t="shared" ca="1" si="7"/>
        <v>943992</v>
      </c>
      <c r="N16" s="905">
        <f t="shared" ca="1" si="7"/>
        <v>943992</v>
      </c>
      <c r="O16" s="905">
        <f t="shared" ca="1" si="1"/>
        <v>96.819692307692307</v>
      </c>
      <c r="P16" s="905">
        <f t="shared" ca="1" si="2"/>
        <v>100</v>
      </c>
      <c r="Q16" s="887"/>
      <c r="R16" s="887"/>
      <c r="S16" s="887"/>
      <c r="T16" s="887"/>
      <c r="U16" s="887"/>
      <c r="V16" s="887"/>
      <c r="W16" s="887"/>
      <c r="X16" s="887"/>
      <c r="Y16" s="887"/>
      <c r="Z16" s="887"/>
    </row>
    <row r="17" spans="1:26" ht="19.5">
      <c r="A17" s="868" t="s">
        <v>22</v>
      </c>
      <c r="B17" s="845"/>
      <c r="C17" s="845"/>
      <c r="D17" s="845"/>
      <c r="E17" s="845"/>
      <c r="F17" s="845"/>
      <c r="G17" s="843"/>
      <c r="H17" s="869"/>
      <c r="I17" s="870"/>
      <c r="J17" s="870"/>
      <c r="K17" s="871"/>
      <c r="L17" s="871"/>
      <c r="M17" s="871"/>
      <c r="N17" s="871"/>
      <c r="O17" s="871"/>
      <c r="P17" s="871"/>
    </row>
    <row r="18" spans="1:26" ht="19.5">
      <c r="A18" s="872"/>
      <c r="B18" s="873"/>
      <c r="C18" s="874" t="s">
        <v>16</v>
      </c>
      <c r="D18" s="875" t="s">
        <v>17</v>
      </c>
      <c r="E18" s="873"/>
      <c r="F18" s="873"/>
      <c r="G18" s="876"/>
      <c r="H18" s="19" t="s">
        <v>12</v>
      </c>
      <c r="I18" s="877"/>
      <c r="J18" s="877"/>
      <c r="K18" s="878"/>
      <c r="L18" s="879">
        <f t="shared" ref="L18:N18" ca="1" si="8">L19+L20</f>
        <v>6275519</v>
      </c>
      <c r="M18" s="879">
        <f t="shared" ca="1" si="8"/>
        <v>5287287</v>
      </c>
      <c r="N18" s="879">
        <f t="shared" ca="1" si="8"/>
        <v>4209377.41</v>
      </c>
      <c r="O18" s="879">
        <f t="shared" ref="O18:O26" ca="1" si="9">IF(L18&gt;0,N18*100/L18,0)</f>
        <v>67.076163899750767</v>
      </c>
      <c r="P18" s="879">
        <f t="shared" ref="P18:P26" ca="1" si="10">IF(M18&gt;0,N18*100/M18,0)</f>
        <v>79.613181769780979</v>
      </c>
      <c r="Q18" s="880"/>
      <c r="R18" s="880"/>
      <c r="S18" s="880"/>
      <c r="T18" s="880"/>
      <c r="U18" s="880"/>
      <c r="V18" s="880"/>
      <c r="W18" s="880"/>
      <c r="X18" s="880"/>
      <c r="Y18" s="880"/>
      <c r="Z18" s="880"/>
    </row>
    <row r="19" spans="1:26" ht="18.75" hidden="1">
      <c r="A19" s="881"/>
      <c r="B19" s="882"/>
      <c r="C19" s="882"/>
      <c r="D19" s="882"/>
      <c r="E19" s="883" t="s">
        <v>18</v>
      </c>
      <c r="F19" s="882"/>
      <c r="G19" s="884"/>
      <c r="H19" s="28" t="s">
        <v>12</v>
      </c>
      <c r="I19" s="885"/>
      <c r="J19" s="885"/>
      <c r="K19" s="886"/>
      <c r="L19" s="886">
        <f t="shared" ref="L19:N20" si="11">L22+L25</f>
        <v>0</v>
      </c>
      <c r="M19" s="886">
        <f t="shared" si="11"/>
        <v>0</v>
      </c>
      <c r="N19" s="886">
        <f t="shared" si="11"/>
        <v>0</v>
      </c>
      <c r="O19" s="886">
        <f t="shared" si="9"/>
        <v>0</v>
      </c>
      <c r="P19" s="886">
        <f t="shared" si="10"/>
        <v>0</v>
      </c>
      <c r="Q19" s="887"/>
      <c r="R19" s="887"/>
      <c r="S19" s="887"/>
      <c r="T19" s="887"/>
      <c r="U19" s="887"/>
      <c r="V19" s="887"/>
      <c r="W19" s="887"/>
      <c r="X19" s="887"/>
      <c r="Y19" s="887"/>
      <c r="Z19" s="887"/>
    </row>
    <row r="20" spans="1:26" ht="18.75" hidden="1">
      <c r="A20" s="881"/>
      <c r="B20" s="882"/>
      <c r="C20" s="882"/>
      <c r="D20" s="882"/>
      <c r="E20" s="883" t="s">
        <v>19</v>
      </c>
      <c r="F20" s="882"/>
      <c r="G20" s="884"/>
      <c r="H20" s="28" t="s">
        <v>12</v>
      </c>
      <c r="I20" s="885"/>
      <c r="J20" s="885"/>
      <c r="K20" s="886"/>
      <c r="L20" s="886">
        <f t="shared" ca="1" si="11"/>
        <v>6275519</v>
      </c>
      <c r="M20" s="886">
        <f t="shared" ca="1" si="11"/>
        <v>5287287</v>
      </c>
      <c r="N20" s="886">
        <f t="shared" ca="1" si="11"/>
        <v>4209377.41</v>
      </c>
      <c r="O20" s="886">
        <f t="shared" ca="1" si="9"/>
        <v>67.076163899750767</v>
      </c>
      <c r="P20" s="886">
        <f t="shared" ca="1" si="10"/>
        <v>79.613181769780979</v>
      </c>
      <c r="Q20" s="887"/>
      <c r="R20" s="887"/>
      <c r="S20" s="887"/>
      <c r="T20" s="887"/>
      <c r="U20" s="887"/>
      <c r="V20" s="887"/>
      <c r="W20" s="887"/>
      <c r="X20" s="887"/>
      <c r="Y20" s="887"/>
      <c r="Z20" s="887"/>
    </row>
    <row r="21" spans="1:26" ht="18.75">
      <c r="A21" s="888"/>
      <c r="B21" s="889"/>
      <c r="C21" s="889"/>
      <c r="D21" s="890" t="s">
        <v>20</v>
      </c>
      <c r="E21" s="889"/>
      <c r="F21" s="889"/>
      <c r="G21" s="891"/>
      <c r="H21" s="621" t="s">
        <v>12</v>
      </c>
      <c r="I21" s="892"/>
      <c r="J21" s="892"/>
      <c r="K21" s="893"/>
      <c r="L21" s="893">
        <f t="shared" ref="L21:N21" ca="1" si="12">L22+L23</f>
        <v>5300519</v>
      </c>
      <c r="M21" s="893">
        <f t="shared" ca="1" si="12"/>
        <v>4343295</v>
      </c>
      <c r="N21" s="893">
        <f t="shared" ca="1" si="12"/>
        <v>3265385.41</v>
      </c>
      <c r="O21" s="893">
        <f t="shared" ca="1" si="9"/>
        <v>61.605012829875719</v>
      </c>
      <c r="P21" s="893">
        <f t="shared" ca="1" si="10"/>
        <v>75.182215575962488</v>
      </c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8.75" hidden="1">
      <c r="A22" s="894"/>
      <c r="B22" s="895"/>
      <c r="C22" s="895"/>
      <c r="D22" s="895"/>
      <c r="E22" s="896" t="s">
        <v>18</v>
      </c>
      <c r="F22" s="895"/>
      <c r="G22" s="897"/>
      <c r="H22" s="43" t="s">
        <v>12</v>
      </c>
      <c r="I22" s="898"/>
      <c r="J22" s="898"/>
      <c r="K22" s="899"/>
      <c r="L22" s="899">
        <f t="shared" ref="L22:N23" si="13">L45+L57+L70+L92+L123+L136+L153+L185+L169+L265+L281+L302+L319+L332+L349+L393+L406</f>
        <v>0</v>
      </c>
      <c r="M22" s="899">
        <f t="shared" si="13"/>
        <v>0</v>
      </c>
      <c r="N22" s="899">
        <f t="shared" si="13"/>
        <v>0</v>
      </c>
      <c r="O22" s="899">
        <f t="shared" si="9"/>
        <v>0</v>
      </c>
      <c r="P22" s="899">
        <f t="shared" si="10"/>
        <v>0</v>
      </c>
      <c r="Q22" s="887"/>
      <c r="R22" s="887"/>
      <c r="S22" s="887"/>
      <c r="T22" s="887"/>
      <c r="U22" s="887"/>
      <c r="V22" s="887"/>
      <c r="W22" s="887"/>
      <c r="X22" s="887"/>
      <c r="Y22" s="887"/>
      <c r="Z22" s="887"/>
    </row>
    <row r="23" spans="1:26" ht="18.75" hidden="1">
      <c r="A23" s="894"/>
      <c r="B23" s="895"/>
      <c r="C23" s="895"/>
      <c r="D23" s="895"/>
      <c r="E23" s="896" t="s">
        <v>19</v>
      </c>
      <c r="F23" s="895"/>
      <c r="G23" s="897"/>
      <c r="H23" s="43" t="s">
        <v>12</v>
      </c>
      <c r="I23" s="898"/>
      <c r="J23" s="898"/>
      <c r="K23" s="899"/>
      <c r="L23" s="899">
        <f t="shared" ca="1" si="13"/>
        <v>5300519</v>
      </c>
      <c r="M23" s="899">
        <f t="shared" ca="1" si="13"/>
        <v>4343295</v>
      </c>
      <c r="N23" s="899">
        <f t="shared" ca="1" si="13"/>
        <v>3265385.41</v>
      </c>
      <c r="O23" s="899">
        <f t="shared" ca="1" si="9"/>
        <v>61.605012829875719</v>
      </c>
      <c r="P23" s="899">
        <f t="shared" ca="1" si="10"/>
        <v>75.182215575962488</v>
      </c>
      <c r="Q23" s="887"/>
      <c r="R23" s="887"/>
      <c r="S23" s="887"/>
      <c r="T23" s="887"/>
      <c r="U23" s="887"/>
      <c r="V23" s="887"/>
      <c r="W23" s="887"/>
      <c r="X23" s="887"/>
      <c r="Y23" s="887"/>
      <c r="Z23" s="887"/>
    </row>
    <row r="24" spans="1:26" ht="18.75">
      <c r="A24" s="888"/>
      <c r="B24" s="889"/>
      <c r="C24" s="889"/>
      <c r="D24" s="890" t="s">
        <v>21</v>
      </c>
      <c r="E24" s="889"/>
      <c r="F24" s="889"/>
      <c r="G24" s="891"/>
      <c r="H24" s="621" t="s">
        <v>12</v>
      </c>
      <c r="I24" s="892"/>
      <c r="J24" s="892"/>
      <c r="K24" s="893"/>
      <c r="L24" s="893">
        <f t="shared" ref="L24:N24" ca="1" si="14">L25+L26</f>
        <v>975000</v>
      </c>
      <c r="M24" s="893">
        <f t="shared" ca="1" si="14"/>
        <v>943992</v>
      </c>
      <c r="N24" s="893">
        <f t="shared" ca="1" si="14"/>
        <v>943992</v>
      </c>
      <c r="O24" s="893">
        <f t="shared" ca="1" si="9"/>
        <v>96.819692307692307</v>
      </c>
      <c r="P24" s="893">
        <f t="shared" ca="1" si="10"/>
        <v>100</v>
      </c>
      <c r="Q24" s="880"/>
      <c r="R24" s="880"/>
      <c r="S24" s="880"/>
      <c r="T24" s="880"/>
      <c r="U24" s="880"/>
      <c r="V24" s="880"/>
      <c r="W24" s="880"/>
      <c r="X24" s="880"/>
      <c r="Y24" s="880"/>
      <c r="Z24" s="880"/>
    </row>
    <row r="25" spans="1:26" ht="18.75" hidden="1">
      <c r="A25" s="894"/>
      <c r="B25" s="895"/>
      <c r="C25" s="895"/>
      <c r="D25" s="895"/>
      <c r="E25" s="896" t="s">
        <v>18</v>
      </c>
      <c r="F25" s="895"/>
      <c r="G25" s="897"/>
      <c r="H25" s="43" t="s">
        <v>12</v>
      </c>
      <c r="I25" s="898"/>
      <c r="J25" s="898"/>
      <c r="K25" s="899"/>
      <c r="L25" s="899">
        <f t="shared" ref="L25:N26" si="15">L48+L60+L73+L95+L126+L139+L156+L188+L172+L268+L284+L305+L322+L335+L352+L396+L409</f>
        <v>0</v>
      </c>
      <c r="M25" s="899">
        <f t="shared" si="15"/>
        <v>0</v>
      </c>
      <c r="N25" s="899">
        <f t="shared" si="15"/>
        <v>0</v>
      </c>
      <c r="O25" s="899">
        <f t="shared" si="9"/>
        <v>0</v>
      </c>
      <c r="P25" s="899">
        <f t="shared" si="10"/>
        <v>0</v>
      </c>
      <c r="Q25" s="887"/>
      <c r="R25" s="887"/>
      <c r="S25" s="887"/>
      <c r="T25" s="887"/>
      <c r="U25" s="887"/>
      <c r="V25" s="887"/>
      <c r="W25" s="887"/>
      <c r="X25" s="887"/>
      <c r="Y25" s="887"/>
      <c r="Z25" s="887"/>
    </row>
    <row r="26" spans="1:26" ht="18.75" hidden="1">
      <c r="A26" s="900"/>
      <c r="B26" s="901"/>
      <c r="C26" s="901"/>
      <c r="D26" s="901"/>
      <c r="E26" s="902" t="s">
        <v>19</v>
      </c>
      <c r="F26" s="901"/>
      <c r="G26" s="903"/>
      <c r="H26" s="50" t="s">
        <v>12</v>
      </c>
      <c r="I26" s="904"/>
      <c r="J26" s="904"/>
      <c r="K26" s="905"/>
      <c r="L26" s="905">
        <f t="shared" ca="1" si="15"/>
        <v>975000</v>
      </c>
      <c r="M26" s="905">
        <f t="shared" ca="1" si="15"/>
        <v>943992</v>
      </c>
      <c r="N26" s="905">
        <f t="shared" ca="1" si="15"/>
        <v>943992</v>
      </c>
      <c r="O26" s="905">
        <f t="shared" ca="1" si="9"/>
        <v>96.819692307692307</v>
      </c>
      <c r="P26" s="905">
        <f t="shared" ca="1" si="10"/>
        <v>100</v>
      </c>
      <c r="Q26" s="887"/>
      <c r="R26" s="887"/>
      <c r="S26" s="887"/>
      <c r="T26" s="887"/>
      <c r="U26" s="887"/>
      <c r="V26" s="887"/>
      <c r="W26" s="887"/>
      <c r="X26" s="887"/>
      <c r="Y26" s="887"/>
      <c r="Z26" s="887"/>
    </row>
    <row r="27" spans="1:26" ht="19.5">
      <c r="A27" s="868" t="s">
        <v>23</v>
      </c>
      <c r="B27" s="845"/>
      <c r="C27" s="845"/>
      <c r="D27" s="845"/>
      <c r="E27" s="845"/>
      <c r="F27" s="845"/>
      <c r="G27" s="843"/>
      <c r="H27" s="869"/>
      <c r="I27" s="870"/>
      <c r="J27" s="870"/>
      <c r="K27" s="871"/>
      <c r="L27" s="871"/>
      <c r="M27" s="871"/>
      <c r="N27" s="871"/>
      <c r="O27" s="871"/>
      <c r="P27" s="871"/>
    </row>
    <row r="28" spans="1:26" ht="19.5">
      <c r="A28" s="872"/>
      <c r="B28" s="873"/>
      <c r="C28" s="874" t="s">
        <v>16</v>
      </c>
      <c r="D28" s="875" t="s">
        <v>17</v>
      </c>
      <c r="E28" s="873"/>
      <c r="F28" s="873"/>
      <c r="G28" s="876"/>
      <c r="H28" s="19" t="s">
        <v>12</v>
      </c>
      <c r="I28" s="877"/>
      <c r="J28" s="877"/>
      <c r="K28" s="878"/>
      <c r="L28" s="879">
        <f t="shared" ref="L28:N28" ca="1" si="16">L29+L30</f>
        <v>3278842</v>
      </c>
      <c r="M28" s="879">
        <f t="shared" ca="1" si="16"/>
        <v>3278842</v>
      </c>
      <c r="N28" s="879">
        <f t="shared" si="16"/>
        <v>1715922.56</v>
      </c>
      <c r="O28" s="879">
        <f t="shared" ref="O28:O37" ca="1" si="17">IF(L28&gt;0,N28*100/L28,0)</f>
        <v>52.333188363452706</v>
      </c>
      <c r="P28" s="879">
        <f t="shared" ref="P28:P37" ca="1" si="18">IF(M28&gt;0,N28*100/M28,0)</f>
        <v>52.333188363452706</v>
      </c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 ht="18.75" hidden="1">
      <c r="A29" s="881"/>
      <c r="B29" s="882"/>
      <c r="C29" s="882"/>
      <c r="D29" s="882"/>
      <c r="E29" s="883" t="s">
        <v>18</v>
      </c>
      <c r="F29" s="882"/>
      <c r="G29" s="884"/>
      <c r="H29" s="28" t="s">
        <v>12</v>
      </c>
      <c r="I29" s="885"/>
      <c r="J29" s="885"/>
      <c r="K29" s="886"/>
      <c r="L29" s="886">
        <f t="shared" ref="L29:N30" si="19">L32+L35</f>
        <v>0</v>
      </c>
      <c r="M29" s="886">
        <f t="shared" si="19"/>
        <v>0</v>
      </c>
      <c r="N29" s="886">
        <f t="shared" si="19"/>
        <v>0</v>
      </c>
      <c r="O29" s="886">
        <f t="shared" si="17"/>
        <v>0</v>
      </c>
      <c r="P29" s="886">
        <f t="shared" si="18"/>
        <v>0</v>
      </c>
      <c r="Q29" s="887"/>
      <c r="R29" s="887"/>
      <c r="S29" s="887"/>
      <c r="T29" s="887"/>
      <c r="U29" s="887"/>
      <c r="V29" s="887"/>
      <c r="W29" s="887"/>
      <c r="X29" s="887"/>
      <c r="Y29" s="887"/>
      <c r="Z29" s="887"/>
    </row>
    <row r="30" spans="1:26" ht="18.75" hidden="1">
      <c r="A30" s="881"/>
      <c r="B30" s="882"/>
      <c r="C30" s="882"/>
      <c r="D30" s="882"/>
      <c r="E30" s="883" t="s">
        <v>19</v>
      </c>
      <c r="F30" s="882"/>
      <c r="G30" s="884"/>
      <c r="H30" s="28" t="s">
        <v>12</v>
      </c>
      <c r="I30" s="885"/>
      <c r="J30" s="885"/>
      <c r="K30" s="886"/>
      <c r="L30" s="886">
        <f t="shared" ca="1" si="19"/>
        <v>3278842</v>
      </c>
      <c r="M30" s="886">
        <f t="shared" ca="1" si="19"/>
        <v>3278842</v>
      </c>
      <c r="N30" s="886">
        <f t="shared" si="19"/>
        <v>1715922.56</v>
      </c>
      <c r="O30" s="886">
        <f t="shared" ca="1" si="17"/>
        <v>52.333188363452706</v>
      </c>
      <c r="P30" s="886">
        <f t="shared" ca="1" si="18"/>
        <v>52.333188363452706</v>
      </c>
      <c r="Q30" s="887"/>
      <c r="R30" s="887"/>
      <c r="S30" s="887"/>
      <c r="T30" s="887"/>
      <c r="U30" s="887"/>
      <c r="V30" s="887"/>
      <c r="W30" s="887"/>
      <c r="X30" s="887"/>
      <c r="Y30" s="887"/>
      <c r="Z30" s="887"/>
    </row>
    <row r="31" spans="1:26" ht="18.75">
      <c r="A31" s="888"/>
      <c r="B31" s="889"/>
      <c r="C31" s="889"/>
      <c r="D31" s="890" t="s">
        <v>20</v>
      </c>
      <c r="E31" s="889"/>
      <c r="F31" s="889"/>
      <c r="G31" s="891"/>
      <c r="H31" s="621" t="s">
        <v>12</v>
      </c>
      <c r="I31" s="892"/>
      <c r="J31" s="892"/>
      <c r="K31" s="893"/>
      <c r="L31" s="893">
        <f t="shared" ref="L31:N31" ca="1" si="20">L32+L33</f>
        <v>3278842</v>
      </c>
      <c r="M31" s="893">
        <f t="shared" ca="1" si="20"/>
        <v>3278842</v>
      </c>
      <c r="N31" s="893">
        <f t="shared" si="20"/>
        <v>1715922.56</v>
      </c>
      <c r="O31" s="893">
        <f t="shared" ca="1" si="17"/>
        <v>52.333188363452706</v>
      </c>
      <c r="P31" s="893">
        <f t="shared" ca="1" si="18"/>
        <v>52.333188363452706</v>
      </c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 ht="18.75" hidden="1">
      <c r="A32" s="894"/>
      <c r="B32" s="895"/>
      <c r="C32" s="895"/>
      <c r="D32" s="895"/>
      <c r="E32" s="896" t="s">
        <v>18</v>
      </c>
      <c r="F32" s="895"/>
      <c r="G32" s="897"/>
      <c r="H32" s="43" t="s">
        <v>12</v>
      </c>
      <c r="I32" s="898"/>
      <c r="J32" s="898"/>
      <c r="K32" s="899"/>
      <c r="L32" s="899">
        <f t="shared" ref="L32:N33" si="21">L423+L448+L471+L506+L527+L548+L633+L659+L689+L741+L758+L774+L790+L809</f>
        <v>0</v>
      </c>
      <c r="M32" s="899">
        <f t="shared" si="21"/>
        <v>0</v>
      </c>
      <c r="N32" s="899">
        <f t="shared" si="21"/>
        <v>0</v>
      </c>
      <c r="O32" s="899">
        <f t="shared" si="17"/>
        <v>0</v>
      </c>
      <c r="P32" s="899">
        <f t="shared" si="18"/>
        <v>0</v>
      </c>
      <c r="Q32" s="887"/>
      <c r="R32" s="887"/>
      <c r="S32" s="887"/>
      <c r="T32" s="887"/>
      <c r="U32" s="887"/>
      <c r="V32" s="887"/>
      <c r="W32" s="887"/>
      <c r="X32" s="887"/>
      <c r="Y32" s="887"/>
      <c r="Z32" s="887"/>
    </row>
    <row r="33" spans="1:26" ht="18.75" hidden="1">
      <c r="A33" s="894"/>
      <c r="B33" s="895"/>
      <c r="C33" s="895"/>
      <c r="D33" s="895"/>
      <c r="E33" s="896" t="s">
        <v>19</v>
      </c>
      <c r="F33" s="895"/>
      <c r="G33" s="897"/>
      <c r="H33" s="43" t="s">
        <v>12</v>
      </c>
      <c r="I33" s="898"/>
      <c r="J33" s="898"/>
      <c r="K33" s="899"/>
      <c r="L33" s="899">
        <f t="shared" ca="1" si="21"/>
        <v>3278842</v>
      </c>
      <c r="M33" s="899">
        <f t="shared" ca="1" si="21"/>
        <v>3278842</v>
      </c>
      <c r="N33" s="899">
        <f t="shared" si="21"/>
        <v>1715922.56</v>
      </c>
      <c r="O33" s="899">
        <f t="shared" ca="1" si="17"/>
        <v>52.333188363452706</v>
      </c>
      <c r="P33" s="899">
        <f t="shared" ca="1" si="18"/>
        <v>52.333188363452706</v>
      </c>
      <c r="Q33" s="887"/>
      <c r="R33" s="887"/>
      <c r="S33" s="887"/>
      <c r="T33" s="887"/>
      <c r="U33" s="887"/>
      <c r="V33" s="887"/>
      <c r="W33" s="887"/>
      <c r="X33" s="887"/>
      <c r="Y33" s="887"/>
      <c r="Z33" s="887"/>
    </row>
    <row r="34" spans="1:26" ht="18.75">
      <c r="A34" s="888"/>
      <c r="B34" s="889"/>
      <c r="C34" s="889"/>
      <c r="D34" s="890" t="s">
        <v>21</v>
      </c>
      <c r="E34" s="889"/>
      <c r="F34" s="889"/>
      <c r="G34" s="891"/>
      <c r="H34" s="621" t="s">
        <v>12</v>
      </c>
      <c r="I34" s="892"/>
      <c r="J34" s="892"/>
      <c r="K34" s="893"/>
      <c r="L34" s="893">
        <f t="shared" ref="L34:N34" ca="1" si="22">L35+L36</f>
        <v>0</v>
      </c>
      <c r="M34" s="893">
        <f t="shared" si="22"/>
        <v>0</v>
      </c>
      <c r="N34" s="893">
        <f t="shared" si="22"/>
        <v>0</v>
      </c>
      <c r="O34" s="893">
        <f t="shared" ca="1" si="17"/>
        <v>0</v>
      </c>
      <c r="P34" s="893">
        <f t="shared" si="18"/>
        <v>0</v>
      </c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 ht="18.75" hidden="1">
      <c r="A35" s="894"/>
      <c r="B35" s="895"/>
      <c r="C35" s="895"/>
      <c r="D35" s="895"/>
      <c r="E35" s="896" t="s">
        <v>18</v>
      </c>
      <c r="F35" s="895"/>
      <c r="G35" s="897"/>
      <c r="H35" s="43" t="s">
        <v>12</v>
      </c>
      <c r="I35" s="898"/>
      <c r="J35" s="898"/>
      <c r="K35" s="899"/>
      <c r="L35" s="899">
        <f t="shared" ref="L35:N36" si="23">L430+L455+L478+L513+L534+L556+L640+L666+L696+L748+L765+L781+L797+L816</f>
        <v>0</v>
      </c>
      <c r="M35" s="899">
        <f t="shared" si="23"/>
        <v>0</v>
      </c>
      <c r="N35" s="899">
        <f t="shared" si="23"/>
        <v>0</v>
      </c>
      <c r="O35" s="899">
        <f t="shared" si="17"/>
        <v>0</v>
      </c>
      <c r="P35" s="899">
        <f t="shared" si="18"/>
        <v>0</v>
      </c>
      <c r="Q35" s="887"/>
      <c r="R35" s="887"/>
      <c r="S35" s="887"/>
      <c r="T35" s="887"/>
      <c r="U35" s="887"/>
      <c r="V35" s="887"/>
      <c r="W35" s="887"/>
      <c r="X35" s="887"/>
      <c r="Y35" s="887"/>
      <c r="Z35" s="887"/>
    </row>
    <row r="36" spans="1:26" ht="18.75" hidden="1">
      <c r="A36" s="900"/>
      <c r="B36" s="901"/>
      <c r="C36" s="901"/>
      <c r="D36" s="901"/>
      <c r="E36" s="902" t="s">
        <v>19</v>
      </c>
      <c r="F36" s="901"/>
      <c r="G36" s="903"/>
      <c r="H36" s="50" t="s">
        <v>12</v>
      </c>
      <c r="I36" s="904"/>
      <c r="J36" s="904"/>
      <c r="K36" s="905"/>
      <c r="L36" s="905">
        <f t="shared" ca="1" si="23"/>
        <v>0</v>
      </c>
      <c r="M36" s="905">
        <f t="shared" si="23"/>
        <v>0</v>
      </c>
      <c r="N36" s="905">
        <f t="shared" si="23"/>
        <v>0</v>
      </c>
      <c r="O36" s="905">
        <f t="shared" ca="1" si="17"/>
        <v>0</v>
      </c>
      <c r="P36" s="905">
        <f t="shared" si="18"/>
        <v>0</v>
      </c>
      <c r="Q36" s="887"/>
      <c r="R36" s="887"/>
      <c r="S36" s="887"/>
      <c r="T36" s="887"/>
      <c r="U36" s="887"/>
      <c r="V36" s="887"/>
      <c r="W36" s="887"/>
      <c r="X36" s="887"/>
      <c r="Y36" s="887"/>
      <c r="Z36" s="887"/>
    </row>
    <row r="37" spans="1:26" ht="19.5">
      <c r="A37" s="906" t="s">
        <v>24</v>
      </c>
      <c r="B37" s="907"/>
      <c r="C37" s="907"/>
      <c r="D37" s="907"/>
      <c r="E37" s="907"/>
      <c r="F37" s="907"/>
      <c r="G37" s="908"/>
      <c r="H37" s="909"/>
      <c r="I37" s="910"/>
      <c r="J37" s="910"/>
      <c r="K37" s="911"/>
      <c r="L37" s="912">
        <f t="shared" ref="L37:N37" ca="1" si="24">L41+L53+L66+L88+L119+L132+L149+L165+L181+L261+L277+L298+L315+L328+L345+L389+L402</f>
        <v>6275519</v>
      </c>
      <c r="M37" s="912">
        <f t="shared" ca="1" si="24"/>
        <v>5287287</v>
      </c>
      <c r="N37" s="912">
        <f t="shared" ca="1" si="24"/>
        <v>4209377.41</v>
      </c>
      <c r="O37" s="912">
        <f t="shared" ca="1" si="17"/>
        <v>67.076163899750767</v>
      </c>
      <c r="P37" s="912">
        <f t="shared" ca="1" si="18"/>
        <v>79.613181769780979</v>
      </c>
    </row>
    <row r="38" spans="1:26" ht="19.5">
      <c r="A38" s="913" t="s">
        <v>25</v>
      </c>
      <c r="B38" s="914"/>
      <c r="C38" s="914"/>
      <c r="D38" s="914"/>
      <c r="E38" s="914"/>
      <c r="F38" s="914"/>
      <c r="G38" s="915"/>
      <c r="H38" s="916"/>
      <c r="I38" s="917"/>
      <c r="J38" s="917"/>
      <c r="K38" s="918"/>
      <c r="L38" s="918"/>
      <c r="M38" s="918"/>
      <c r="N38" s="918"/>
      <c r="O38" s="918"/>
      <c r="P38" s="918"/>
    </row>
    <row r="39" spans="1:26" ht="19.5">
      <c r="A39" s="919"/>
      <c r="B39" s="920" t="s">
        <v>26</v>
      </c>
      <c r="C39" s="921"/>
      <c r="D39" s="921"/>
      <c r="E39" s="921"/>
      <c r="F39" s="921"/>
      <c r="G39" s="922"/>
      <c r="H39" s="923"/>
      <c r="I39" s="924"/>
      <c r="J39" s="924"/>
      <c r="K39" s="925"/>
      <c r="L39" s="925"/>
      <c r="M39" s="925"/>
      <c r="N39" s="925"/>
      <c r="O39" s="925"/>
      <c r="P39" s="925"/>
    </row>
    <row r="40" spans="1:26" ht="19.5">
      <c r="A40" s="926"/>
      <c r="B40" s="927" t="s">
        <v>27</v>
      </c>
      <c r="C40" s="853"/>
      <c r="D40" s="853"/>
      <c r="E40" s="853"/>
      <c r="F40" s="853"/>
      <c r="G40" s="854"/>
      <c r="H40" s="928"/>
      <c r="I40" s="929"/>
      <c r="J40" s="929"/>
      <c r="K40" s="930"/>
      <c r="L40" s="930"/>
      <c r="M40" s="930"/>
      <c r="N40" s="930"/>
      <c r="O40" s="930"/>
      <c r="P40" s="930"/>
    </row>
    <row r="41" spans="1:26" ht="19.5">
      <c r="A41" s="931"/>
      <c r="B41" s="932"/>
      <c r="C41" s="933" t="s">
        <v>16</v>
      </c>
      <c r="D41" s="934" t="s">
        <v>17</v>
      </c>
      <c r="E41" s="932"/>
      <c r="F41" s="932"/>
      <c r="G41" s="935"/>
      <c r="H41" s="82" t="s">
        <v>12</v>
      </c>
      <c r="I41" s="936"/>
      <c r="J41" s="936"/>
      <c r="K41" s="937"/>
      <c r="L41" s="938">
        <f t="shared" ref="L41:N41" ca="1" si="25">L42+L43</f>
        <v>478559</v>
      </c>
      <c r="M41" s="938">
        <f t="shared" ca="1" si="25"/>
        <v>498005</v>
      </c>
      <c r="N41" s="938">
        <f t="shared" ca="1" si="25"/>
        <v>347344.32</v>
      </c>
      <c r="O41" s="938">
        <f t="shared" ref="O41:O49" ca="1" si="26">IF(L41&gt;0,N41*100/L41,0)</f>
        <v>72.581295096320417</v>
      </c>
      <c r="P41" s="938">
        <f t="shared" ref="P41:P49" ca="1" si="27">IF(M41&gt;0,N41*100/M41,0)</f>
        <v>69.747155149044687</v>
      </c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 ht="18.75" hidden="1">
      <c r="A42" s="939"/>
      <c r="B42" s="940"/>
      <c r="C42" s="940"/>
      <c r="D42" s="940"/>
      <c r="E42" s="941" t="s">
        <v>18</v>
      </c>
      <c r="F42" s="940"/>
      <c r="G42" s="942"/>
      <c r="H42" s="90" t="s">
        <v>12</v>
      </c>
      <c r="I42" s="943"/>
      <c r="J42" s="943"/>
      <c r="K42" s="944"/>
      <c r="L42" s="944">
        <f t="shared" ref="L42:N43" si="28">L45+L48</f>
        <v>0</v>
      </c>
      <c r="M42" s="944">
        <f t="shared" si="28"/>
        <v>0</v>
      </c>
      <c r="N42" s="944">
        <f t="shared" si="28"/>
        <v>0</v>
      </c>
      <c r="O42" s="944">
        <f t="shared" si="26"/>
        <v>0</v>
      </c>
      <c r="P42" s="944">
        <f t="shared" si="27"/>
        <v>0</v>
      </c>
      <c r="Q42" s="887"/>
      <c r="R42" s="887"/>
      <c r="S42" s="887"/>
      <c r="T42" s="887"/>
      <c r="U42" s="887"/>
      <c r="V42" s="887"/>
      <c r="W42" s="887"/>
      <c r="X42" s="887"/>
      <c r="Y42" s="887"/>
      <c r="Z42" s="887"/>
    </row>
    <row r="43" spans="1:26" ht="18.75" hidden="1">
      <c r="A43" s="939"/>
      <c r="B43" s="940"/>
      <c r="C43" s="940"/>
      <c r="D43" s="940"/>
      <c r="E43" s="941" t="s">
        <v>19</v>
      </c>
      <c r="F43" s="940"/>
      <c r="G43" s="942"/>
      <c r="H43" s="90" t="s">
        <v>12</v>
      </c>
      <c r="I43" s="943"/>
      <c r="J43" s="943"/>
      <c r="K43" s="944"/>
      <c r="L43" s="944">
        <f t="shared" ca="1" si="28"/>
        <v>478559</v>
      </c>
      <c r="M43" s="944">
        <f t="shared" ca="1" si="28"/>
        <v>498005</v>
      </c>
      <c r="N43" s="944">
        <f t="shared" ca="1" si="28"/>
        <v>347344.32</v>
      </c>
      <c r="O43" s="944">
        <f t="shared" ca="1" si="26"/>
        <v>72.581295096320417</v>
      </c>
      <c r="P43" s="944">
        <f t="shared" ca="1" si="27"/>
        <v>69.747155149044687</v>
      </c>
      <c r="Q43" s="887"/>
      <c r="R43" s="887"/>
      <c r="S43" s="887"/>
      <c r="T43" s="887"/>
      <c r="U43" s="887"/>
      <c r="V43" s="887"/>
      <c r="W43" s="887"/>
      <c r="X43" s="887"/>
      <c r="Y43" s="887"/>
      <c r="Z43" s="887"/>
    </row>
    <row r="44" spans="1:26" ht="18.75">
      <c r="A44" s="888"/>
      <c r="B44" s="889"/>
      <c r="C44" s="889"/>
      <c r="D44" s="890" t="s">
        <v>20</v>
      </c>
      <c r="E44" s="889"/>
      <c r="F44" s="889"/>
      <c r="G44" s="891"/>
      <c r="H44" s="621" t="s">
        <v>12</v>
      </c>
      <c r="I44" s="892"/>
      <c r="J44" s="892"/>
      <c r="K44" s="893"/>
      <c r="L44" s="893">
        <f t="shared" ref="L44:N44" ca="1" si="29">L45+L46</f>
        <v>478559</v>
      </c>
      <c r="M44" s="893">
        <f t="shared" ca="1" si="29"/>
        <v>498005</v>
      </c>
      <c r="N44" s="893">
        <f t="shared" ca="1" si="29"/>
        <v>347344.32</v>
      </c>
      <c r="O44" s="893">
        <f t="shared" ca="1" si="26"/>
        <v>72.581295096320417</v>
      </c>
      <c r="P44" s="893">
        <f t="shared" ca="1" si="27"/>
        <v>69.747155149044687</v>
      </c>
      <c r="Q44" s="880"/>
      <c r="R44" s="880"/>
      <c r="S44" s="880"/>
      <c r="T44" s="880"/>
      <c r="U44" s="880"/>
      <c r="V44" s="880"/>
      <c r="W44" s="880"/>
      <c r="X44" s="880"/>
      <c r="Y44" s="880"/>
      <c r="Z44" s="880"/>
    </row>
    <row r="45" spans="1:26" ht="18.75" hidden="1">
      <c r="A45" s="894"/>
      <c r="B45" s="895"/>
      <c r="C45" s="895"/>
      <c r="D45" s="895"/>
      <c r="E45" s="896" t="s">
        <v>18</v>
      </c>
      <c r="F45" s="895"/>
      <c r="G45" s="897"/>
      <c r="H45" s="43" t="s">
        <v>12</v>
      </c>
      <c r="I45" s="898"/>
      <c r="J45" s="898"/>
      <c r="K45" s="899"/>
      <c r="L45" s="899">
        <v>0</v>
      </c>
      <c r="M45" s="899">
        <v>0</v>
      </c>
      <c r="N45" s="899">
        <v>0</v>
      </c>
      <c r="O45" s="899">
        <f t="shared" si="26"/>
        <v>0</v>
      </c>
      <c r="P45" s="899">
        <f t="shared" si="27"/>
        <v>0</v>
      </c>
      <c r="Q45" s="887"/>
      <c r="R45" s="887"/>
      <c r="S45" s="887"/>
      <c r="T45" s="887"/>
      <c r="U45" s="887"/>
      <c r="V45" s="887"/>
      <c r="W45" s="887"/>
      <c r="X45" s="887"/>
      <c r="Y45" s="887"/>
      <c r="Z45" s="887"/>
    </row>
    <row r="46" spans="1:26" ht="18.75" hidden="1">
      <c r="A46" s="894"/>
      <c r="B46" s="895"/>
      <c r="C46" s="895"/>
      <c r="D46" s="895"/>
      <c r="E46" s="896" t="s">
        <v>19</v>
      </c>
      <c r="F46" s="895"/>
      <c r="G46" s="897"/>
      <c r="H46" s="43" t="s">
        <v>12</v>
      </c>
      <c r="I46" s="898"/>
      <c r="J46" s="898"/>
      <c r="K46" s="899"/>
      <c r="L46" s="899">
        <f ca="1">IFERROR(__xludf.DUMMYFUNCTION("IMPORTRANGE(""https://docs.google.com/spreadsheets/d/1MeEWN-I1oV_STSDYn1IFDPWt_1FKiwhDph83XaGc0o0/edit?usp=sharing"",""งบพรบ!M51"")"),478559)</f>
        <v>478559</v>
      </c>
      <c r="M46" s="899">
        <f ca="1">IFERROR(__xludf.DUMMYFUNCTION("IMPORTRANGE(""https://docs.google.com/spreadsheets/d/1MeEWN-I1oV_STSDYn1IFDPWt_1FKiwhDph83XaGc0o0/edit?usp=sharing"",""งบพรบ!R51"")"),498005)</f>
        <v>498005</v>
      </c>
      <c r="N46" s="899">
        <f ca="1">IFERROR(__xludf.DUMMYFUNCTION("IMPORTRANGE(""https://docs.google.com/spreadsheets/d/1MeEWN-I1oV_STSDYn1IFDPWt_1FKiwhDph83XaGc0o0/edit?usp=sharing"",""งบพรบ!T51"")"),347344.32)</f>
        <v>347344.32</v>
      </c>
      <c r="O46" s="899">
        <f t="shared" ca="1" si="26"/>
        <v>72.581295096320417</v>
      </c>
      <c r="P46" s="899">
        <f t="shared" ca="1" si="27"/>
        <v>69.747155149044687</v>
      </c>
      <c r="Q46" s="887"/>
      <c r="R46" s="887"/>
      <c r="S46" s="887"/>
      <c r="T46" s="887"/>
      <c r="U46" s="887"/>
      <c r="V46" s="887"/>
      <c r="W46" s="887"/>
      <c r="X46" s="887"/>
      <c r="Y46" s="887"/>
      <c r="Z46" s="887"/>
    </row>
    <row r="47" spans="1:26" ht="18.75">
      <c r="A47" s="888"/>
      <c r="B47" s="889"/>
      <c r="C47" s="889"/>
      <c r="D47" s="890" t="s">
        <v>21</v>
      </c>
      <c r="E47" s="889"/>
      <c r="F47" s="889"/>
      <c r="G47" s="891"/>
      <c r="H47" s="621" t="s">
        <v>12</v>
      </c>
      <c r="I47" s="892"/>
      <c r="J47" s="892"/>
      <c r="K47" s="893"/>
      <c r="L47" s="893">
        <f t="shared" ref="L47:N47" ca="1" si="30">L48+L49</f>
        <v>0</v>
      </c>
      <c r="M47" s="893">
        <f t="shared" ca="1" si="30"/>
        <v>0</v>
      </c>
      <c r="N47" s="893">
        <f t="shared" ca="1" si="30"/>
        <v>0</v>
      </c>
      <c r="O47" s="893">
        <f t="shared" ca="1" si="26"/>
        <v>0</v>
      </c>
      <c r="P47" s="893">
        <f t="shared" ca="1" si="27"/>
        <v>0</v>
      </c>
      <c r="Q47" s="880"/>
      <c r="R47" s="880"/>
      <c r="S47" s="880"/>
      <c r="T47" s="880"/>
      <c r="U47" s="880"/>
      <c r="V47" s="880"/>
      <c r="W47" s="880"/>
      <c r="X47" s="880"/>
      <c r="Y47" s="880"/>
      <c r="Z47" s="880"/>
    </row>
    <row r="48" spans="1:26" ht="18.75" hidden="1">
      <c r="A48" s="894"/>
      <c r="B48" s="895"/>
      <c r="C48" s="895"/>
      <c r="D48" s="895"/>
      <c r="E48" s="896" t="s">
        <v>18</v>
      </c>
      <c r="F48" s="895"/>
      <c r="G48" s="897"/>
      <c r="H48" s="43" t="s">
        <v>12</v>
      </c>
      <c r="I48" s="898"/>
      <c r="J48" s="898"/>
      <c r="K48" s="899"/>
      <c r="L48" s="899">
        <v>0</v>
      </c>
      <c r="M48" s="899">
        <v>0</v>
      </c>
      <c r="N48" s="899">
        <v>0</v>
      </c>
      <c r="O48" s="899">
        <f t="shared" si="26"/>
        <v>0</v>
      </c>
      <c r="P48" s="899">
        <f t="shared" si="27"/>
        <v>0</v>
      </c>
      <c r="Q48" s="887"/>
      <c r="R48" s="887"/>
      <c r="S48" s="887"/>
      <c r="T48" s="887"/>
      <c r="U48" s="887"/>
      <c r="V48" s="887"/>
      <c r="W48" s="887"/>
      <c r="X48" s="887"/>
      <c r="Y48" s="887"/>
      <c r="Z48" s="887"/>
    </row>
    <row r="49" spans="1:26" ht="18.75" hidden="1">
      <c r="A49" s="900"/>
      <c r="B49" s="901"/>
      <c r="C49" s="901"/>
      <c r="D49" s="901"/>
      <c r="E49" s="902" t="s">
        <v>19</v>
      </c>
      <c r="F49" s="901"/>
      <c r="G49" s="903"/>
      <c r="H49" s="50" t="s">
        <v>12</v>
      </c>
      <c r="I49" s="904"/>
      <c r="J49" s="904"/>
      <c r="K49" s="905"/>
      <c r="L49" s="905">
        <f ca="1">IFERROR(__xludf.DUMMYFUNCTION("IMPORTRANGE(""https://docs.google.com/spreadsheets/d/1MeEWN-I1oV_STSDYn1IFDPWt_1FKiwhDph83XaGc0o0/edit?usp=sharing"",""งบพรบ!P51"")"),0)</f>
        <v>0</v>
      </c>
      <c r="M49" s="905">
        <f ca="1">IFERROR(__xludf.DUMMYFUNCTION("IMPORTRANGE(""https://docs.google.com/spreadsheets/d/1MeEWN-I1oV_STSDYn1IFDPWt_1FKiwhDph83XaGc0o0/edit?usp=sharing"",""งบพรบ!S51"")"),0)</f>
        <v>0</v>
      </c>
      <c r="N49" s="905">
        <f ca="1">IFERROR(__xludf.DUMMYFUNCTION("IMPORTRANGE(""https://docs.google.com/spreadsheets/d/1MeEWN-I1oV_STSDYn1IFDPWt_1FKiwhDph83XaGc0o0/edit?usp=sharing"",""งบพรบ!U51"")"),0)</f>
        <v>0</v>
      </c>
      <c r="O49" s="905">
        <f t="shared" ca="1" si="26"/>
        <v>0</v>
      </c>
      <c r="P49" s="905">
        <f t="shared" ca="1" si="27"/>
        <v>0</v>
      </c>
      <c r="Q49" s="887"/>
      <c r="R49" s="887"/>
      <c r="S49" s="887"/>
      <c r="T49" s="887"/>
      <c r="U49" s="887"/>
      <c r="V49" s="887"/>
      <c r="W49" s="887"/>
      <c r="X49" s="887"/>
      <c r="Y49" s="887"/>
      <c r="Z49" s="887"/>
    </row>
    <row r="50" spans="1:26" ht="19.5">
      <c r="A50" s="945" t="s">
        <v>28</v>
      </c>
      <c r="B50" s="845"/>
      <c r="C50" s="845"/>
      <c r="D50" s="845"/>
      <c r="E50" s="845"/>
      <c r="F50" s="845"/>
      <c r="G50" s="843"/>
      <c r="H50" s="946"/>
      <c r="I50" s="947"/>
      <c r="J50" s="947"/>
      <c r="K50" s="948"/>
      <c r="L50" s="948"/>
      <c r="M50" s="948"/>
      <c r="N50" s="948"/>
      <c r="O50" s="948"/>
      <c r="P50" s="948"/>
    </row>
    <row r="51" spans="1:26" ht="19.5">
      <c r="A51" s="949"/>
      <c r="B51" s="950" t="s">
        <v>29</v>
      </c>
      <c r="C51" s="853"/>
      <c r="D51" s="853"/>
      <c r="E51" s="853"/>
      <c r="F51" s="853"/>
      <c r="G51" s="854"/>
      <c r="H51" s="951"/>
      <c r="I51" s="952"/>
      <c r="J51" s="952"/>
      <c r="K51" s="953"/>
      <c r="L51" s="953"/>
      <c r="M51" s="953"/>
      <c r="N51" s="953"/>
      <c r="O51" s="953"/>
      <c r="P51" s="953"/>
    </row>
    <row r="52" spans="1:26" ht="19.5">
      <c r="A52" s="954"/>
      <c r="B52" s="955" t="s">
        <v>30</v>
      </c>
      <c r="C52" s="956"/>
      <c r="D52" s="956"/>
      <c r="E52" s="956"/>
      <c r="F52" s="956"/>
      <c r="G52" s="957"/>
      <c r="H52" s="958"/>
      <c r="I52" s="959"/>
      <c r="J52" s="959"/>
      <c r="K52" s="960"/>
      <c r="L52" s="960"/>
      <c r="M52" s="960"/>
      <c r="N52" s="960"/>
      <c r="O52" s="960"/>
      <c r="P52" s="960"/>
    </row>
    <row r="53" spans="1:26" ht="19.5">
      <c r="A53" s="961"/>
      <c r="B53" s="962"/>
      <c r="C53" s="963" t="s">
        <v>16</v>
      </c>
      <c r="D53" s="964" t="s">
        <v>17</v>
      </c>
      <c r="E53" s="962"/>
      <c r="F53" s="962"/>
      <c r="G53" s="965"/>
      <c r="H53" s="113" t="s">
        <v>12</v>
      </c>
      <c r="I53" s="966"/>
      <c r="J53" s="966"/>
      <c r="K53" s="967"/>
      <c r="L53" s="968">
        <f t="shared" ref="L53:N53" ca="1" si="31">L54+L55</f>
        <v>1853500</v>
      </c>
      <c r="M53" s="968">
        <f t="shared" ca="1" si="31"/>
        <v>1583867</v>
      </c>
      <c r="N53" s="968">
        <f t="shared" ca="1" si="31"/>
        <v>1462675.94</v>
      </c>
      <c r="O53" s="968">
        <f t="shared" ref="O53:O61" ca="1" si="32">IF(L53&gt;0,N53*100/L53,0)</f>
        <v>78.914267062314536</v>
      </c>
      <c r="P53" s="968">
        <f t="shared" ref="P53:P61" ca="1" si="33">IF(M53&gt;0,N53*100/M53,0)</f>
        <v>92.348406779104565</v>
      </c>
      <c r="Q53" s="880"/>
      <c r="R53" s="880"/>
      <c r="S53" s="880"/>
      <c r="T53" s="880"/>
      <c r="U53" s="880"/>
      <c r="V53" s="880"/>
      <c r="W53" s="880"/>
      <c r="X53" s="880"/>
      <c r="Y53" s="880"/>
      <c r="Z53" s="880"/>
    </row>
    <row r="54" spans="1:26" ht="18.75" hidden="1">
      <c r="A54" s="969"/>
      <c r="B54" s="970"/>
      <c r="C54" s="970"/>
      <c r="D54" s="970"/>
      <c r="E54" s="971" t="s">
        <v>18</v>
      </c>
      <c r="F54" s="970"/>
      <c r="G54" s="972"/>
      <c r="H54" s="121" t="s">
        <v>12</v>
      </c>
      <c r="I54" s="973"/>
      <c r="J54" s="973"/>
      <c r="K54" s="974"/>
      <c r="L54" s="974">
        <f t="shared" ref="L54:N55" si="34">L57+L60</f>
        <v>0</v>
      </c>
      <c r="M54" s="974">
        <f t="shared" si="34"/>
        <v>0</v>
      </c>
      <c r="N54" s="974">
        <f t="shared" si="34"/>
        <v>0</v>
      </c>
      <c r="O54" s="974">
        <f t="shared" si="32"/>
        <v>0</v>
      </c>
      <c r="P54" s="974">
        <f t="shared" si="33"/>
        <v>0</v>
      </c>
      <c r="Q54" s="887"/>
      <c r="R54" s="887"/>
      <c r="S54" s="887"/>
      <c r="T54" s="887"/>
      <c r="U54" s="887"/>
      <c r="V54" s="887"/>
      <c r="W54" s="887"/>
      <c r="X54" s="887"/>
      <c r="Y54" s="887"/>
      <c r="Z54" s="887"/>
    </row>
    <row r="55" spans="1:26" ht="18.75" hidden="1">
      <c r="A55" s="969"/>
      <c r="B55" s="970"/>
      <c r="C55" s="970"/>
      <c r="D55" s="970"/>
      <c r="E55" s="971" t="s">
        <v>19</v>
      </c>
      <c r="F55" s="970"/>
      <c r="G55" s="972"/>
      <c r="H55" s="121" t="s">
        <v>12</v>
      </c>
      <c r="I55" s="973"/>
      <c r="J55" s="973"/>
      <c r="K55" s="974"/>
      <c r="L55" s="974">
        <f t="shared" ca="1" si="34"/>
        <v>1853500</v>
      </c>
      <c r="M55" s="974">
        <f t="shared" ca="1" si="34"/>
        <v>1583867</v>
      </c>
      <c r="N55" s="974">
        <f t="shared" ca="1" si="34"/>
        <v>1462675.94</v>
      </c>
      <c r="O55" s="974">
        <f t="shared" ca="1" si="32"/>
        <v>78.914267062314536</v>
      </c>
      <c r="P55" s="974">
        <f t="shared" ca="1" si="33"/>
        <v>92.348406779104565</v>
      </c>
      <c r="Q55" s="887"/>
      <c r="R55" s="887"/>
      <c r="S55" s="887"/>
      <c r="T55" s="887"/>
      <c r="U55" s="887"/>
      <c r="V55" s="887"/>
      <c r="W55" s="887"/>
      <c r="X55" s="887"/>
      <c r="Y55" s="887"/>
      <c r="Z55" s="887"/>
    </row>
    <row r="56" spans="1:26" ht="18.75">
      <c r="A56" s="888"/>
      <c r="B56" s="889"/>
      <c r="C56" s="889"/>
      <c r="D56" s="890" t="s">
        <v>20</v>
      </c>
      <c r="E56" s="889"/>
      <c r="F56" s="889"/>
      <c r="G56" s="891"/>
      <c r="H56" s="621" t="s">
        <v>12</v>
      </c>
      <c r="I56" s="892"/>
      <c r="J56" s="892"/>
      <c r="K56" s="893"/>
      <c r="L56" s="893">
        <f t="shared" ref="L56:N56" ca="1" si="35">L57+L58</f>
        <v>954500</v>
      </c>
      <c r="M56" s="893">
        <f t="shared" ca="1" si="35"/>
        <v>715875</v>
      </c>
      <c r="N56" s="893">
        <f t="shared" ca="1" si="35"/>
        <v>594683.93999999994</v>
      </c>
      <c r="O56" s="893">
        <f t="shared" ca="1" si="32"/>
        <v>62.303189104243053</v>
      </c>
      <c r="P56" s="893">
        <f t="shared" ca="1" si="33"/>
        <v>83.070918805657399</v>
      </c>
      <c r="Q56" s="880"/>
      <c r="R56" s="880"/>
      <c r="S56" s="880"/>
      <c r="T56" s="880"/>
      <c r="U56" s="880"/>
      <c r="V56" s="880"/>
      <c r="W56" s="880"/>
      <c r="X56" s="880"/>
      <c r="Y56" s="880"/>
      <c r="Z56" s="880"/>
    </row>
    <row r="57" spans="1:26" ht="18.75" hidden="1">
      <c r="A57" s="894"/>
      <c r="B57" s="895"/>
      <c r="C57" s="895"/>
      <c r="D57" s="895"/>
      <c r="E57" s="896" t="s">
        <v>18</v>
      </c>
      <c r="F57" s="895"/>
      <c r="G57" s="897"/>
      <c r="H57" s="43" t="s">
        <v>12</v>
      </c>
      <c r="I57" s="898"/>
      <c r="J57" s="898"/>
      <c r="K57" s="899"/>
      <c r="L57" s="899">
        <v>0</v>
      </c>
      <c r="M57" s="899">
        <v>0</v>
      </c>
      <c r="N57" s="899">
        <v>0</v>
      </c>
      <c r="O57" s="899">
        <f t="shared" si="32"/>
        <v>0</v>
      </c>
      <c r="P57" s="899">
        <f t="shared" si="33"/>
        <v>0</v>
      </c>
      <c r="Q57" s="887"/>
      <c r="R57" s="887"/>
      <c r="S57" s="887"/>
      <c r="T57" s="887"/>
      <c r="U57" s="887"/>
      <c r="V57" s="887"/>
      <c r="W57" s="887"/>
      <c r="X57" s="887"/>
      <c r="Y57" s="887"/>
      <c r="Z57" s="887"/>
    </row>
    <row r="58" spans="1:26" ht="18.75" hidden="1">
      <c r="A58" s="894"/>
      <c r="B58" s="895"/>
      <c r="C58" s="895"/>
      <c r="D58" s="895"/>
      <c r="E58" s="896" t="s">
        <v>19</v>
      </c>
      <c r="F58" s="895"/>
      <c r="G58" s="897"/>
      <c r="H58" s="43" t="s">
        <v>12</v>
      </c>
      <c r="I58" s="898"/>
      <c r="J58" s="898"/>
      <c r="K58" s="899"/>
      <c r="L58" s="899">
        <f ca="1">IFERROR(__xludf.DUMMYFUNCTION("IMPORTRANGE(""https://docs.google.com/spreadsheets/d/1MeEWN-I1oV_STSDYn1IFDPWt_1FKiwhDph83XaGc0o0/edit?usp=sharing"",""งบพรบ!W51"")"),954500)</f>
        <v>954500</v>
      </c>
      <c r="M58" s="899">
        <f ca="1">IFERROR(__xludf.DUMMYFUNCTION("IMPORTRANGE(""https://docs.google.com/spreadsheets/d/1MeEWN-I1oV_STSDYn1IFDPWt_1FKiwhDph83XaGc0o0/edit?usp=sharing"",""งบพรบ!AB51"")"),715875)</f>
        <v>715875</v>
      </c>
      <c r="N58" s="899">
        <f ca="1">IFERROR(__xludf.DUMMYFUNCTION("IMPORTRANGE(""https://docs.google.com/spreadsheets/d/1MeEWN-I1oV_STSDYn1IFDPWt_1FKiwhDph83XaGc0o0/edit?usp=sharing"",""งบพรบ!AD51"")"),594683.94)</f>
        <v>594683.93999999994</v>
      </c>
      <c r="O58" s="899">
        <f t="shared" ca="1" si="32"/>
        <v>62.303189104243053</v>
      </c>
      <c r="P58" s="899">
        <f t="shared" ca="1" si="33"/>
        <v>83.070918805657399</v>
      </c>
      <c r="Q58" s="887"/>
      <c r="R58" s="887"/>
      <c r="S58" s="887"/>
      <c r="T58" s="887"/>
      <c r="U58" s="887"/>
      <c r="V58" s="887"/>
      <c r="W58" s="887"/>
      <c r="X58" s="887"/>
      <c r="Y58" s="887"/>
      <c r="Z58" s="887"/>
    </row>
    <row r="59" spans="1:26" ht="18.75">
      <c r="A59" s="888"/>
      <c r="B59" s="889"/>
      <c r="C59" s="889"/>
      <c r="D59" s="890" t="s">
        <v>21</v>
      </c>
      <c r="E59" s="889"/>
      <c r="F59" s="889"/>
      <c r="G59" s="891"/>
      <c r="H59" s="621" t="s">
        <v>12</v>
      </c>
      <c r="I59" s="892"/>
      <c r="J59" s="892"/>
      <c r="K59" s="893"/>
      <c r="L59" s="893">
        <f t="shared" ref="L59:N59" ca="1" si="36">L60+L61</f>
        <v>899000</v>
      </c>
      <c r="M59" s="893">
        <f t="shared" ca="1" si="36"/>
        <v>867992</v>
      </c>
      <c r="N59" s="893">
        <f t="shared" ca="1" si="36"/>
        <v>867992</v>
      </c>
      <c r="O59" s="893">
        <f t="shared" ca="1" si="32"/>
        <v>96.550834260289207</v>
      </c>
      <c r="P59" s="893">
        <f t="shared" ca="1" si="33"/>
        <v>100</v>
      </c>
      <c r="Q59" s="880"/>
      <c r="R59" s="880"/>
      <c r="S59" s="880"/>
      <c r="T59" s="880"/>
      <c r="U59" s="880"/>
      <c r="V59" s="880"/>
      <c r="W59" s="880"/>
      <c r="X59" s="880"/>
      <c r="Y59" s="880"/>
      <c r="Z59" s="880"/>
    </row>
    <row r="60" spans="1:26" ht="18.75" hidden="1">
      <c r="A60" s="894"/>
      <c r="B60" s="895"/>
      <c r="C60" s="895"/>
      <c r="D60" s="895"/>
      <c r="E60" s="896" t="s">
        <v>18</v>
      </c>
      <c r="F60" s="895"/>
      <c r="G60" s="897"/>
      <c r="H60" s="43" t="s">
        <v>12</v>
      </c>
      <c r="I60" s="898"/>
      <c r="J60" s="898"/>
      <c r="K60" s="899"/>
      <c r="L60" s="899">
        <v>0</v>
      </c>
      <c r="M60" s="899">
        <v>0</v>
      </c>
      <c r="N60" s="899">
        <v>0</v>
      </c>
      <c r="O60" s="899">
        <f t="shared" si="32"/>
        <v>0</v>
      </c>
      <c r="P60" s="899">
        <f t="shared" si="33"/>
        <v>0</v>
      </c>
      <c r="Q60" s="887"/>
      <c r="R60" s="887"/>
      <c r="S60" s="887"/>
      <c r="T60" s="887"/>
      <c r="U60" s="887"/>
      <c r="V60" s="887"/>
      <c r="W60" s="887"/>
      <c r="X60" s="887"/>
      <c r="Y60" s="887"/>
      <c r="Z60" s="887"/>
    </row>
    <row r="61" spans="1:26" ht="18.75" hidden="1">
      <c r="A61" s="900"/>
      <c r="B61" s="901"/>
      <c r="C61" s="901"/>
      <c r="D61" s="901"/>
      <c r="E61" s="902" t="s">
        <v>19</v>
      </c>
      <c r="F61" s="901"/>
      <c r="G61" s="903"/>
      <c r="H61" s="50" t="s">
        <v>12</v>
      </c>
      <c r="I61" s="904"/>
      <c r="J61" s="904"/>
      <c r="K61" s="905"/>
      <c r="L61" s="905">
        <f ca="1">IFERROR(__xludf.DUMMYFUNCTION("IMPORTRANGE(""https://docs.google.com/spreadsheets/d/1MeEWN-I1oV_STSDYn1IFDPWt_1FKiwhDph83XaGc0o0/edit?usp=sharing"",""งบพรบ!Z51"")"),899000)</f>
        <v>899000</v>
      </c>
      <c r="M61" s="905">
        <f ca="1">IFERROR(__xludf.DUMMYFUNCTION("IMPORTRANGE(""https://docs.google.com/spreadsheets/d/1MeEWN-I1oV_STSDYn1IFDPWt_1FKiwhDph83XaGc0o0/edit?usp=sharing"",""งบพรบ!AC51"")"),867992)</f>
        <v>867992</v>
      </c>
      <c r="N61" s="905">
        <f ca="1">IFERROR(__xludf.DUMMYFUNCTION("IMPORTRANGE(""https://docs.google.com/spreadsheets/d/1MeEWN-I1oV_STSDYn1IFDPWt_1FKiwhDph83XaGc0o0/edit?usp=sharing"",""งบพรบ!AE51"")"),867992)</f>
        <v>867992</v>
      </c>
      <c r="O61" s="905">
        <f t="shared" ca="1" si="32"/>
        <v>96.550834260289207</v>
      </c>
      <c r="P61" s="905">
        <f t="shared" ca="1" si="33"/>
        <v>100</v>
      </c>
      <c r="Q61" s="887"/>
      <c r="R61" s="887"/>
      <c r="S61" s="887"/>
      <c r="T61" s="887"/>
      <c r="U61" s="887"/>
      <c r="V61" s="887"/>
      <c r="W61" s="887"/>
      <c r="X61" s="887"/>
      <c r="Y61" s="887"/>
      <c r="Z61" s="887"/>
    </row>
    <row r="62" spans="1:26" ht="19.5">
      <c r="A62" s="975" t="s">
        <v>31</v>
      </c>
      <c r="B62" s="976"/>
      <c r="C62" s="976"/>
      <c r="D62" s="976"/>
      <c r="E62" s="977"/>
      <c r="F62" s="977"/>
      <c r="G62" s="978"/>
      <c r="H62" s="979"/>
      <c r="I62" s="980"/>
      <c r="J62" s="980"/>
      <c r="K62" s="981"/>
      <c r="L62" s="981"/>
      <c r="M62" s="981"/>
      <c r="N62" s="981"/>
      <c r="O62" s="981"/>
      <c r="P62" s="981"/>
    </row>
    <row r="63" spans="1:26" ht="19.5">
      <c r="A63" s="982" t="s">
        <v>32</v>
      </c>
      <c r="B63" s="983"/>
      <c r="C63" s="984"/>
      <c r="D63" s="983"/>
      <c r="E63" s="983"/>
      <c r="F63" s="983"/>
      <c r="G63" s="985"/>
      <c r="H63" s="986"/>
      <c r="I63" s="987"/>
      <c r="J63" s="987"/>
      <c r="K63" s="988"/>
      <c r="L63" s="988"/>
      <c r="M63" s="988"/>
      <c r="N63" s="988"/>
      <c r="O63" s="988"/>
      <c r="P63" s="988"/>
    </row>
    <row r="64" spans="1:26" ht="19.5">
      <c r="A64" s="989"/>
      <c r="B64" s="990" t="s">
        <v>33</v>
      </c>
      <c r="C64" s="991"/>
      <c r="D64" s="992"/>
      <c r="E64" s="991"/>
      <c r="F64" s="991"/>
      <c r="G64" s="993"/>
      <c r="H64" s="205" t="s">
        <v>34</v>
      </c>
      <c r="I64" s="994">
        <f t="shared" ref="I64:J65" ca="1" si="37">I76</f>
        <v>1</v>
      </c>
      <c r="J64" s="994">
        <f t="shared" si="37"/>
        <v>1</v>
      </c>
      <c r="K64" s="995">
        <f t="shared" ref="K64:K65" ca="1" si="38">IF(I64&gt;0,J64*100/I64,0)</f>
        <v>100</v>
      </c>
      <c r="L64" s="996"/>
      <c r="M64" s="996"/>
      <c r="N64" s="996"/>
      <c r="O64" s="996"/>
      <c r="P64" s="996"/>
    </row>
    <row r="65" spans="1:26" ht="19.5">
      <c r="A65" s="989"/>
      <c r="B65" s="991"/>
      <c r="C65" s="991"/>
      <c r="D65" s="992"/>
      <c r="E65" s="991"/>
      <c r="F65" s="991"/>
      <c r="G65" s="993"/>
      <c r="H65" s="205" t="s">
        <v>35</v>
      </c>
      <c r="I65" s="994">
        <f t="shared" ca="1" si="37"/>
        <v>35</v>
      </c>
      <c r="J65" s="994">
        <f t="shared" si="37"/>
        <v>35</v>
      </c>
      <c r="K65" s="995">
        <f t="shared" ca="1" si="38"/>
        <v>100</v>
      </c>
      <c r="L65" s="996"/>
      <c r="M65" s="996"/>
      <c r="N65" s="996"/>
      <c r="O65" s="996"/>
      <c r="P65" s="996"/>
    </row>
    <row r="66" spans="1:26" ht="19.5">
      <c r="A66" s="997"/>
      <c r="B66" s="998"/>
      <c r="C66" s="999" t="s">
        <v>16</v>
      </c>
      <c r="D66" s="1000" t="s">
        <v>17</v>
      </c>
      <c r="E66" s="998"/>
      <c r="F66" s="998"/>
      <c r="G66" s="1001"/>
      <c r="H66" s="152" t="s">
        <v>12</v>
      </c>
      <c r="I66" s="1002"/>
      <c r="J66" s="1002"/>
      <c r="K66" s="1003"/>
      <c r="L66" s="1004">
        <f t="shared" ref="L66:N66" ca="1" si="39">L67+L68</f>
        <v>412000</v>
      </c>
      <c r="M66" s="1004">
        <f t="shared" ca="1" si="39"/>
        <v>315950</v>
      </c>
      <c r="N66" s="1004">
        <f t="shared" ca="1" si="39"/>
        <v>293009.8</v>
      </c>
      <c r="O66" s="1004">
        <f t="shared" ref="O66:O74" ca="1" si="40">IF(L66&gt;0,N66*100/L66,0)</f>
        <v>71.118883495145624</v>
      </c>
      <c r="P66" s="1004">
        <f t="shared" ref="P66:P74" ca="1" si="41">IF(M66&gt;0,N66*100/M66,0)</f>
        <v>92.739294192119004</v>
      </c>
      <c r="Q66" s="880"/>
      <c r="R66" s="880"/>
      <c r="S66" s="880"/>
      <c r="T66" s="880"/>
      <c r="U66" s="880"/>
      <c r="V66" s="880"/>
      <c r="W66" s="880"/>
      <c r="X66" s="880"/>
      <c r="Y66" s="880"/>
      <c r="Z66" s="880"/>
    </row>
    <row r="67" spans="1:26" ht="18.75" hidden="1">
      <c r="A67" s="1005"/>
      <c r="B67" s="895"/>
      <c r="C67" s="895"/>
      <c r="D67" s="895"/>
      <c r="E67" s="896" t="s">
        <v>18</v>
      </c>
      <c r="F67" s="895"/>
      <c r="G67" s="1006"/>
      <c r="H67" s="158" t="s">
        <v>12</v>
      </c>
      <c r="I67" s="898"/>
      <c r="J67" s="898"/>
      <c r="K67" s="899"/>
      <c r="L67" s="899">
        <f t="shared" ref="L67:N68" si="42">L70+L73</f>
        <v>0</v>
      </c>
      <c r="M67" s="899">
        <f t="shared" si="42"/>
        <v>0</v>
      </c>
      <c r="N67" s="899">
        <f t="shared" si="42"/>
        <v>0</v>
      </c>
      <c r="O67" s="899">
        <f t="shared" si="40"/>
        <v>0</v>
      </c>
      <c r="P67" s="899">
        <f t="shared" si="41"/>
        <v>0</v>
      </c>
      <c r="Q67" s="887"/>
      <c r="R67" s="887"/>
      <c r="S67" s="887"/>
      <c r="T67" s="887"/>
      <c r="U67" s="887"/>
      <c r="V67" s="887"/>
      <c r="W67" s="887"/>
      <c r="X67" s="887"/>
      <c r="Y67" s="887"/>
      <c r="Z67" s="887"/>
    </row>
    <row r="68" spans="1:26" ht="18.75" hidden="1">
      <c r="A68" s="1005"/>
      <c r="B68" s="895"/>
      <c r="C68" s="895"/>
      <c r="D68" s="895"/>
      <c r="E68" s="896" t="s">
        <v>19</v>
      </c>
      <c r="F68" s="895"/>
      <c r="G68" s="1006"/>
      <c r="H68" s="158" t="s">
        <v>12</v>
      </c>
      <c r="I68" s="898"/>
      <c r="J68" s="898"/>
      <c r="K68" s="899"/>
      <c r="L68" s="899">
        <f t="shared" ca="1" si="42"/>
        <v>412000</v>
      </c>
      <c r="M68" s="899">
        <f t="shared" ca="1" si="42"/>
        <v>315950</v>
      </c>
      <c r="N68" s="899">
        <f t="shared" ca="1" si="42"/>
        <v>293009.8</v>
      </c>
      <c r="O68" s="899">
        <f t="shared" ca="1" si="40"/>
        <v>71.118883495145624</v>
      </c>
      <c r="P68" s="899">
        <f t="shared" ca="1" si="41"/>
        <v>92.739294192119004</v>
      </c>
      <c r="Q68" s="887"/>
      <c r="R68" s="887"/>
      <c r="S68" s="887"/>
      <c r="T68" s="887"/>
      <c r="U68" s="887"/>
      <c r="V68" s="887"/>
      <c r="W68" s="887"/>
      <c r="X68" s="887"/>
      <c r="Y68" s="887"/>
      <c r="Z68" s="887"/>
    </row>
    <row r="69" spans="1:26" ht="18.75">
      <c r="A69" s="1007"/>
      <c r="B69" s="889"/>
      <c r="C69" s="1008"/>
      <c r="D69" s="890" t="s">
        <v>20</v>
      </c>
      <c r="E69" s="889"/>
      <c r="F69" s="889"/>
      <c r="G69" s="891"/>
      <c r="H69" s="161" t="s">
        <v>12</v>
      </c>
      <c r="I69" s="1009"/>
      <c r="J69" s="1009"/>
      <c r="K69" s="1010"/>
      <c r="L69" s="893">
        <f t="shared" ref="L69:N69" ca="1" si="43">L70+L71</f>
        <v>412000</v>
      </c>
      <c r="M69" s="893">
        <f t="shared" ca="1" si="43"/>
        <v>315950</v>
      </c>
      <c r="N69" s="893">
        <f t="shared" ca="1" si="43"/>
        <v>293009.8</v>
      </c>
      <c r="O69" s="893">
        <f t="shared" ca="1" si="40"/>
        <v>71.118883495145624</v>
      </c>
      <c r="P69" s="893">
        <f t="shared" ca="1" si="41"/>
        <v>92.739294192119004</v>
      </c>
      <c r="Q69" s="880"/>
      <c r="R69" s="880"/>
      <c r="S69" s="880"/>
      <c r="T69" s="880"/>
      <c r="U69" s="880"/>
      <c r="V69" s="880"/>
      <c r="W69" s="880"/>
      <c r="X69" s="880"/>
      <c r="Y69" s="880"/>
      <c r="Z69" s="880"/>
    </row>
    <row r="70" spans="1:26" ht="19.5" hidden="1">
      <c r="A70" s="1005"/>
      <c r="B70" s="895"/>
      <c r="C70" s="1011"/>
      <c r="D70" s="895"/>
      <c r="E70" s="896" t="s">
        <v>36</v>
      </c>
      <c r="F70" s="895"/>
      <c r="G70" s="1006"/>
      <c r="H70" s="165" t="s">
        <v>12</v>
      </c>
      <c r="I70" s="1012"/>
      <c r="J70" s="1012"/>
      <c r="K70" s="1013"/>
      <c r="L70" s="899">
        <v>0</v>
      </c>
      <c r="M70" s="899">
        <v>0</v>
      </c>
      <c r="N70" s="899">
        <v>0</v>
      </c>
      <c r="O70" s="899">
        <f t="shared" si="40"/>
        <v>0</v>
      </c>
      <c r="P70" s="899">
        <f t="shared" si="41"/>
        <v>0</v>
      </c>
      <c r="Q70" s="887"/>
      <c r="R70" s="887"/>
      <c r="S70" s="887"/>
      <c r="T70" s="887"/>
      <c r="U70" s="887"/>
      <c r="V70" s="887"/>
      <c r="W70" s="887"/>
      <c r="X70" s="887"/>
      <c r="Y70" s="887"/>
      <c r="Z70" s="887"/>
    </row>
    <row r="71" spans="1:26" ht="19.5" hidden="1">
      <c r="A71" s="1005"/>
      <c r="B71" s="895"/>
      <c r="C71" s="1011"/>
      <c r="D71" s="895"/>
      <c r="E71" s="896" t="s">
        <v>37</v>
      </c>
      <c r="F71" s="895"/>
      <c r="G71" s="1006"/>
      <c r="H71" s="165" t="s">
        <v>12</v>
      </c>
      <c r="I71" s="1012"/>
      <c r="J71" s="1012"/>
      <c r="K71" s="1013"/>
      <c r="L71" s="899">
        <f ca="1">IFERROR(__xludf.DUMMYFUNCTION("IMPORTRANGE(""https://docs.google.com/spreadsheets/d/1MeEWN-I1oV_STSDYn1IFDPWt_1FKiwhDph83XaGc0o0/edit?usp=sharing"",""งบพรบ!AG51"")"),412000)</f>
        <v>412000</v>
      </c>
      <c r="M71" s="899">
        <f ca="1">IFERROR(__xludf.DUMMYFUNCTION("IMPORTRANGE(""https://docs.google.com/spreadsheets/d/1MeEWN-I1oV_STSDYn1IFDPWt_1FKiwhDph83XaGc0o0/edit?usp=sharing"",""งบพรบ!AL51"")"),315950)</f>
        <v>315950</v>
      </c>
      <c r="N71" s="899">
        <f ca="1">IFERROR(__xludf.DUMMYFUNCTION("IMPORTRANGE(""https://docs.google.com/spreadsheets/d/1MeEWN-I1oV_STSDYn1IFDPWt_1FKiwhDph83XaGc0o0/edit?usp=sharing"",""งบพรบ!AN51"")"),293009.8)</f>
        <v>293009.8</v>
      </c>
      <c r="O71" s="899">
        <f t="shared" ca="1" si="40"/>
        <v>71.118883495145624</v>
      </c>
      <c r="P71" s="899">
        <f t="shared" ca="1" si="41"/>
        <v>92.739294192119004</v>
      </c>
      <c r="Q71" s="887"/>
      <c r="R71" s="887"/>
      <c r="S71" s="887"/>
      <c r="T71" s="887"/>
      <c r="U71" s="887"/>
      <c r="V71" s="887"/>
      <c r="W71" s="887"/>
      <c r="X71" s="887"/>
      <c r="Y71" s="887"/>
      <c r="Z71" s="887"/>
    </row>
    <row r="72" spans="1:26" ht="18.75">
      <c r="A72" s="1007"/>
      <c r="B72" s="889"/>
      <c r="C72" s="1008"/>
      <c r="D72" s="890" t="s">
        <v>21</v>
      </c>
      <c r="E72" s="889"/>
      <c r="F72" s="889"/>
      <c r="G72" s="891"/>
      <c r="H72" s="168" t="s">
        <v>12</v>
      </c>
      <c r="I72" s="1009"/>
      <c r="J72" s="1009"/>
      <c r="K72" s="1010"/>
      <c r="L72" s="893">
        <f t="shared" ref="L72:N72" ca="1" si="44">L73+L74</f>
        <v>0</v>
      </c>
      <c r="M72" s="893">
        <f t="shared" ca="1" si="44"/>
        <v>0</v>
      </c>
      <c r="N72" s="893">
        <f t="shared" ca="1" si="44"/>
        <v>0</v>
      </c>
      <c r="O72" s="893">
        <f t="shared" ca="1" si="40"/>
        <v>0</v>
      </c>
      <c r="P72" s="893">
        <f t="shared" ca="1" si="41"/>
        <v>0</v>
      </c>
      <c r="Q72" s="880"/>
      <c r="R72" s="880"/>
      <c r="S72" s="880"/>
      <c r="T72" s="880"/>
      <c r="U72" s="880"/>
      <c r="V72" s="880"/>
      <c r="W72" s="880"/>
      <c r="X72" s="880"/>
      <c r="Y72" s="880"/>
      <c r="Z72" s="880"/>
    </row>
    <row r="73" spans="1:26" ht="19.5" hidden="1">
      <c r="A73" s="1005"/>
      <c r="B73" s="895"/>
      <c r="C73" s="1011"/>
      <c r="D73" s="895"/>
      <c r="E73" s="896" t="s">
        <v>18</v>
      </c>
      <c r="F73" s="895"/>
      <c r="G73" s="1006"/>
      <c r="H73" s="165" t="s">
        <v>12</v>
      </c>
      <c r="I73" s="1012"/>
      <c r="J73" s="1012"/>
      <c r="K73" s="1013"/>
      <c r="L73" s="899">
        <v>0</v>
      </c>
      <c r="M73" s="899">
        <v>0</v>
      </c>
      <c r="N73" s="899">
        <v>0</v>
      </c>
      <c r="O73" s="899">
        <f t="shared" si="40"/>
        <v>0</v>
      </c>
      <c r="P73" s="899">
        <f t="shared" si="41"/>
        <v>0</v>
      </c>
      <c r="Q73" s="887"/>
      <c r="R73" s="887"/>
      <c r="S73" s="887"/>
      <c r="T73" s="887"/>
      <c r="U73" s="887"/>
      <c r="V73" s="887"/>
      <c r="W73" s="887"/>
      <c r="X73" s="887"/>
      <c r="Y73" s="887"/>
      <c r="Z73" s="887"/>
    </row>
    <row r="74" spans="1:26" ht="19.5" hidden="1">
      <c r="A74" s="1005"/>
      <c r="B74" s="895"/>
      <c r="C74" s="1011"/>
      <c r="D74" s="895"/>
      <c r="E74" s="896" t="s">
        <v>19</v>
      </c>
      <c r="F74" s="895"/>
      <c r="G74" s="1006"/>
      <c r="H74" s="169" t="s">
        <v>12</v>
      </c>
      <c r="I74" s="1012"/>
      <c r="J74" s="1012"/>
      <c r="K74" s="1013"/>
      <c r="L74" s="899">
        <f ca="1">IFERROR(__xludf.DUMMYFUNCTION("IMPORTRANGE(""https://docs.google.com/spreadsheets/d/1MeEWN-I1oV_STSDYn1IFDPWt_1FKiwhDph83XaGc0o0/edit?usp=sharing"",""งบพรบ!AJ51"")"),0)</f>
        <v>0</v>
      </c>
      <c r="M74" s="899">
        <f ca="1">IFERROR(__xludf.DUMMYFUNCTION("IMPORTRANGE(""https://docs.google.com/spreadsheets/d/1MeEWN-I1oV_STSDYn1IFDPWt_1FKiwhDph83XaGc0o0/edit?usp=sharing"",""งบพรบ!AM51"")"),0)</f>
        <v>0</v>
      </c>
      <c r="N74" s="899">
        <f ca="1">IFERROR(__xludf.DUMMYFUNCTION("IMPORTRANGE(""https://docs.google.com/spreadsheets/d/1MeEWN-I1oV_STSDYn1IFDPWt_1FKiwhDph83XaGc0o0/edit?usp=sharing"",""งบพรบ!AO51"")"),0)</f>
        <v>0</v>
      </c>
      <c r="O74" s="899">
        <f t="shared" ca="1" si="40"/>
        <v>0</v>
      </c>
      <c r="P74" s="899">
        <f t="shared" ca="1" si="41"/>
        <v>0</v>
      </c>
      <c r="Q74" s="887"/>
      <c r="R74" s="887"/>
      <c r="S74" s="887"/>
      <c r="T74" s="887"/>
      <c r="U74" s="887"/>
      <c r="V74" s="887"/>
      <c r="W74" s="887"/>
      <c r="X74" s="887"/>
      <c r="Y74" s="887"/>
      <c r="Z74" s="887"/>
    </row>
    <row r="75" spans="1:26" ht="19.5">
      <c r="A75" s="1014"/>
      <c r="B75" s="1015"/>
      <c r="C75" s="1011" t="s">
        <v>16</v>
      </c>
      <c r="D75" s="1016" t="s">
        <v>38</v>
      </c>
      <c r="E75" s="1017"/>
      <c r="F75" s="1017"/>
      <c r="G75" s="1018"/>
      <c r="H75" s="1019"/>
      <c r="I75" s="1009"/>
      <c r="J75" s="1009"/>
      <c r="K75" s="1010"/>
      <c r="L75" s="1010"/>
      <c r="M75" s="1010"/>
      <c r="N75" s="1010"/>
      <c r="O75" s="1010"/>
      <c r="P75" s="1010"/>
    </row>
    <row r="76" spans="1:26" ht="19.5">
      <c r="A76" s="1014"/>
      <c r="B76" s="1015"/>
      <c r="C76" s="1015"/>
      <c r="D76" s="1020" t="s">
        <v>39</v>
      </c>
      <c r="E76" s="1021"/>
      <c r="F76" s="1022"/>
      <c r="G76" s="1023"/>
      <c r="H76" s="180" t="s">
        <v>34</v>
      </c>
      <c r="I76" s="892">
        <f t="shared" ref="I76:J77" ca="1" si="45">I78+I80+I82</f>
        <v>1</v>
      </c>
      <c r="J76" s="892">
        <f t="shared" si="45"/>
        <v>1</v>
      </c>
      <c r="K76" s="1010">
        <f t="shared" ref="K76:K84" ca="1" si="46">IF(I76&gt;0,J76*100/I76,0)</f>
        <v>100</v>
      </c>
      <c r="L76" s="1010"/>
      <c r="M76" s="1010"/>
      <c r="N76" s="1010"/>
      <c r="O76" s="1010"/>
      <c r="P76" s="1010"/>
    </row>
    <row r="77" spans="1:26" ht="19.5">
      <c r="A77" s="1014"/>
      <c r="B77" s="1015"/>
      <c r="C77" s="1015"/>
      <c r="D77" s="1015"/>
      <c r="E77" s="1022"/>
      <c r="F77" s="1022"/>
      <c r="G77" s="1023"/>
      <c r="H77" s="180" t="s">
        <v>35</v>
      </c>
      <c r="I77" s="892">
        <f t="shared" ca="1" si="45"/>
        <v>35</v>
      </c>
      <c r="J77" s="892">
        <f t="shared" si="45"/>
        <v>35</v>
      </c>
      <c r="K77" s="1010">
        <f t="shared" ca="1" si="46"/>
        <v>100</v>
      </c>
      <c r="L77" s="1010"/>
      <c r="M77" s="1010"/>
      <c r="N77" s="1010"/>
      <c r="O77" s="1010"/>
      <c r="P77" s="1010"/>
    </row>
    <row r="78" spans="1:26" ht="18.75">
      <c r="A78" s="1014"/>
      <c r="B78" s="1015"/>
      <c r="C78" s="1015"/>
      <c r="D78" s="1015"/>
      <c r="E78" s="1021" t="s">
        <v>40</v>
      </c>
      <c r="F78" s="1021"/>
      <c r="G78" s="1023"/>
      <c r="H78" s="761" t="s">
        <v>34</v>
      </c>
      <c r="I78" s="1009">
        <f ca="1">IFERROR(__xludf.DUMMYFUNCTION("IMPORTRANGE(""https://docs.google.com/spreadsheets/d/1QqKyyYR6Q21VydFLVH3TRQUabQu_ym0Zz7PgGX0-kHA/edit?usp=sharing"",""แผน!H51"")"),1)</f>
        <v>1</v>
      </c>
      <c r="J78" s="1024">
        <v>1</v>
      </c>
      <c r="K78" s="1010">
        <f t="shared" ca="1" si="46"/>
        <v>100</v>
      </c>
      <c r="L78" s="1010"/>
      <c r="M78" s="1010"/>
      <c r="N78" s="1010"/>
      <c r="O78" s="1010"/>
      <c r="P78" s="1010"/>
    </row>
    <row r="79" spans="1:26" ht="18.75">
      <c r="A79" s="1014"/>
      <c r="B79" s="1015"/>
      <c r="C79" s="1015"/>
      <c r="D79" s="1015"/>
      <c r="E79" s="1022"/>
      <c r="F79" s="1022"/>
      <c r="G79" s="1023"/>
      <c r="H79" s="761" t="s">
        <v>35</v>
      </c>
      <c r="I79" s="1009">
        <f ca="1">IFERROR(__xludf.DUMMYFUNCTION("IMPORTRANGE(""https://docs.google.com/spreadsheets/d/1QqKyyYR6Q21VydFLVH3TRQUabQu_ym0Zz7PgGX0-kHA/edit?usp=sharing"",""แผน!I51"")"),35)</f>
        <v>35</v>
      </c>
      <c r="J79" s="1024">
        <v>35</v>
      </c>
      <c r="K79" s="1010">
        <f t="shared" ca="1" si="46"/>
        <v>100</v>
      </c>
      <c r="L79" s="1010"/>
      <c r="M79" s="1010"/>
      <c r="N79" s="1010"/>
      <c r="O79" s="1010"/>
      <c r="P79" s="1010"/>
    </row>
    <row r="80" spans="1:26" ht="18.75">
      <c r="A80" s="1014"/>
      <c r="B80" s="1015"/>
      <c r="C80" s="1015"/>
      <c r="D80" s="1015"/>
      <c r="E80" s="1021" t="s">
        <v>41</v>
      </c>
      <c r="F80" s="1021"/>
      <c r="G80" s="1023"/>
      <c r="H80" s="761" t="s">
        <v>34</v>
      </c>
      <c r="I80" s="1009">
        <f ca="1">IFERROR(__xludf.DUMMYFUNCTION("IMPORTRANGE(""https://docs.google.com/spreadsheets/d/1QqKyyYR6Q21VydFLVH3TRQUabQu_ym0Zz7PgGX0-kHA/edit?usp=sharing"",""แผน!F51"")"),0)</f>
        <v>0</v>
      </c>
      <c r="J80" s="1024">
        <v>0</v>
      </c>
      <c r="K80" s="1010">
        <f t="shared" ca="1" si="46"/>
        <v>0</v>
      </c>
      <c r="L80" s="1010"/>
      <c r="M80" s="1010"/>
      <c r="N80" s="1010"/>
      <c r="O80" s="1010"/>
      <c r="P80" s="1010"/>
    </row>
    <row r="81" spans="1:26" ht="18.75">
      <c r="A81" s="1014"/>
      <c r="B81" s="1015"/>
      <c r="C81" s="1015"/>
      <c r="D81" s="1015"/>
      <c r="E81" s="1022"/>
      <c r="F81" s="1022"/>
      <c r="G81" s="1023"/>
      <c r="H81" s="761" t="s">
        <v>35</v>
      </c>
      <c r="I81" s="1009">
        <f ca="1">IFERROR(__xludf.DUMMYFUNCTION("IMPORTRANGE(""https://docs.google.com/spreadsheets/d/1QqKyyYR6Q21VydFLVH3TRQUabQu_ym0Zz7PgGX0-kHA/edit?usp=sharing"",""แผน!G51"")"),0)</f>
        <v>0</v>
      </c>
      <c r="J81" s="1024">
        <v>0</v>
      </c>
      <c r="K81" s="1010">
        <f t="shared" ca="1" si="46"/>
        <v>0</v>
      </c>
      <c r="L81" s="1010"/>
      <c r="M81" s="1010"/>
      <c r="N81" s="1010"/>
      <c r="O81" s="1010"/>
      <c r="P81" s="1010"/>
    </row>
    <row r="82" spans="1:26" ht="18.75">
      <c r="A82" s="1014"/>
      <c r="B82" s="1015"/>
      <c r="C82" s="1015"/>
      <c r="D82" s="1015"/>
      <c r="E82" s="1021" t="s">
        <v>42</v>
      </c>
      <c r="F82" s="1021"/>
      <c r="G82" s="1023"/>
      <c r="H82" s="761" t="s">
        <v>34</v>
      </c>
      <c r="I82" s="1009">
        <f ca="1">IFERROR(__xludf.DUMMYFUNCTION("IMPORTRANGE(""https://docs.google.com/spreadsheets/d/1QqKyyYR6Q21VydFLVH3TRQUabQu_ym0Zz7PgGX0-kHA/edit?usp=sharing"",""แผน!D51"")"),0)</f>
        <v>0</v>
      </c>
      <c r="J82" s="1024">
        <v>0</v>
      </c>
      <c r="K82" s="1010">
        <f t="shared" ca="1" si="46"/>
        <v>0</v>
      </c>
      <c r="L82" s="1010"/>
      <c r="M82" s="1010"/>
      <c r="N82" s="1010"/>
      <c r="O82" s="1010"/>
      <c r="P82" s="1010"/>
    </row>
    <row r="83" spans="1:26" ht="18.75">
      <c r="A83" s="1014"/>
      <c r="B83" s="1015"/>
      <c r="C83" s="1015"/>
      <c r="D83" s="1015"/>
      <c r="E83" s="1022"/>
      <c r="F83" s="1022"/>
      <c r="G83" s="1023"/>
      <c r="H83" s="761" t="s">
        <v>35</v>
      </c>
      <c r="I83" s="1009">
        <f ca="1">IFERROR(__xludf.DUMMYFUNCTION("IMPORTRANGE(""https://docs.google.com/spreadsheets/d/1QqKyyYR6Q21VydFLVH3TRQUabQu_ym0Zz7PgGX0-kHA/edit?usp=sharing"",""แผน!E51"")"),0)</f>
        <v>0</v>
      </c>
      <c r="J83" s="1024">
        <v>0</v>
      </c>
      <c r="K83" s="1010">
        <f t="shared" ca="1" si="46"/>
        <v>0</v>
      </c>
      <c r="L83" s="1010"/>
      <c r="M83" s="1010"/>
      <c r="N83" s="1010"/>
      <c r="O83" s="1010"/>
      <c r="P83" s="1010"/>
    </row>
    <row r="84" spans="1:26" ht="18.75">
      <c r="A84" s="1014"/>
      <c r="B84" s="1015"/>
      <c r="C84" s="1015"/>
      <c r="D84" s="1020" t="s">
        <v>43</v>
      </c>
      <c r="E84" s="1021"/>
      <c r="F84" s="1022"/>
      <c r="G84" s="1023"/>
      <c r="H84" s="185" t="s">
        <v>34</v>
      </c>
      <c r="I84" s="1009">
        <f ca="1">IFERROR(__xludf.DUMMYFUNCTION("IMPORTRANGE(""https://docs.google.com/spreadsheets/d/1QqKyyYR6Q21VydFLVH3TRQUabQu_ym0Zz7PgGX0-kHA/edit?usp=sharing"",""แผน!J51"")"),1)</f>
        <v>1</v>
      </c>
      <c r="J84" s="1024">
        <v>0</v>
      </c>
      <c r="K84" s="1010">
        <f t="shared" ca="1" si="46"/>
        <v>0</v>
      </c>
      <c r="L84" s="1010"/>
      <c r="M84" s="1010"/>
      <c r="N84" s="1010"/>
      <c r="O84" s="1010"/>
      <c r="P84" s="1010"/>
    </row>
    <row r="85" spans="1:26" ht="19.5">
      <c r="A85" s="982" t="s">
        <v>44</v>
      </c>
      <c r="B85" s="983"/>
      <c r="C85" s="984"/>
      <c r="D85" s="983"/>
      <c r="E85" s="983"/>
      <c r="F85" s="983"/>
      <c r="G85" s="985"/>
      <c r="H85" s="986"/>
      <c r="I85" s="987"/>
      <c r="J85" s="987"/>
      <c r="K85" s="988"/>
      <c r="L85" s="988"/>
      <c r="M85" s="988"/>
      <c r="N85" s="988"/>
      <c r="O85" s="988"/>
      <c r="P85" s="988"/>
    </row>
    <row r="86" spans="1:26" ht="19.5">
      <c r="A86" s="989"/>
      <c r="B86" s="990" t="s">
        <v>45</v>
      </c>
      <c r="C86" s="991"/>
      <c r="D86" s="992"/>
      <c r="E86" s="991"/>
      <c r="F86" s="991"/>
      <c r="G86" s="993"/>
      <c r="H86" s="205" t="s">
        <v>46</v>
      </c>
      <c r="I86" s="994">
        <f t="shared" ref="I86:J87" ca="1" si="47">I98</f>
        <v>45</v>
      </c>
      <c r="J86" s="994">
        <f t="shared" si="47"/>
        <v>45</v>
      </c>
      <c r="K86" s="995">
        <f t="shared" ref="K86:K87" ca="1" si="48">IF(I86&gt;0,J86*100/I86,0)</f>
        <v>100</v>
      </c>
      <c r="L86" s="996"/>
      <c r="M86" s="996"/>
      <c r="N86" s="996"/>
      <c r="O86" s="996"/>
      <c r="P86" s="996"/>
    </row>
    <row r="87" spans="1:26" ht="19.5">
      <c r="A87" s="989"/>
      <c r="B87" s="991"/>
      <c r="C87" s="991"/>
      <c r="D87" s="992"/>
      <c r="E87" s="991"/>
      <c r="F87" s="991"/>
      <c r="G87" s="993"/>
      <c r="H87" s="205" t="s">
        <v>35</v>
      </c>
      <c r="I87" s="994">
        <f t="shared" ca="1" si="47"/>
        <v>15</v>
      </c>
      <c r="J87" s="994">
        <f t="shared" si="47"/>
        <v>15</v>
      </c>
      <c r="K87" s="995">
        <f t="shared" ca="1" si="48"/>
        <v>100</v>
      </c>
      <c r="L87" s="996"/>
      <c r="M87" s="996"/>
      <c r="N87" s="996"/>
      <c r="O87" s="996"/>
      <c r="P87" s="996"/>
    </row>
    <row r="88" spans="1:26" ht="19.5">
      <c r="A88" s="997"/>
      <c r="B88" s="998"/>
      <c r="C88" s="999" t="s">
        <v>16</v>
      </c>
      <c r="D88" s="1000" t="s">
        <v>17</v>
      </c>
      <c r="E88" s="998"/>
      <c r="F88" s="998"/>
      <c r="G88" s="1001"/>
      <c r="H88" s="152" t="s">
        <v>12</v>
      </c>
      <c r="I88" s="1002"/>
      <c r="J88" s="1002"/>
      <c r="K88" s="1003"/>
      <c r="L88" s="1004">
        <f t="shared" ref="L88:N88" ca="1" si="49">L89+L90</f>
        <v>98960</v>
      </c>
      <c r="M88" s="1004">
        <f t="shared" ca="1" si="49"/>
        <v>63010</v>
      </c>
      <c r="N88" s="1004">
        <f t="shared" ca="1" si="49"/>
        <v>55151.5</v>
      </c>
      <c r="O88" s="1004">
        <f t="shared" ref="O88:O96" ca="1" si="50">IF(L88&gt;0,N88*100/L88,0)</f>
        <v>55.731103476151979</v>
      </c>
      <c r="P88" s="1004">
        <f t="shared" ref="P88:P96" ca="1" si="51">IF(M88&gt;0,N88*100/M88,0)</f>
        <v>87.528170131725119</v>
      </c>
      <c r="Q88" s="880"/>
      <c r="R88" s="880"/>
      <c r="S88" s="880"/>
      <c r="T88" s="880"/>
      <c r="U88" s="880"/>
      <c r="V88" s="880"/>
      <c r="W88" s="880"/>
      <c r="X88" s="880"/>
      <c r="Y88" s="880"/>
      <c r="Z88" s="880"/>
    </row>
    <row r="89" spans="1:26" ht="18.75" hidden="1">
      <c r="A89" s="1005"/>
      <c r="B89" s="895"/>
      <c r="C89" s="895"/>
      <c r="D89" s="895"/>
      <c r="E89" s="896" t="s">
        <v>18</v>
      </c>
      <c r="F89" s="895"/>
      <c r="G89" s="1006"/>
      <c r="H89" s="158" t="s">
        <v>12</v>
      </c>
      <c r="I89" s="898"/>
      <c r="J89" s="898"/>
      <c r="K89" s="899"/>
      <c r="L89" s="899">
        <f t="shared" ref="L89:N90" si="52">L92+L95</f>
        <v>0</v>
      </c>
      <c r="M89" s="899">
        <f t="shared" si="52"/>
        <v>0</v>
      </c>
      <c r="N89" s="899">
        <f t="shared" si="52"/>
        <v>0</v>
      </c>
      <c r="O89" s="899">
        <f t="shared" si="50"/>
        <v>0</v>
      </c>
      <c r="P89" s="899">
        <f t="shared" si="51"/>
        <v>0</v>
      </c>
      <c r="Q89" s="887"/>
      <c r="R89" s="887"/>
      <c r="S89" s="887"/>
      <c r="T89" s="887"/>
      <c r="U89" s="887"/>
      <c r="V89" s="887"/>
      <c r="W89" s="887"/>
      <c r="X89" s="887"/>
      <c r="Y89" s="887"/>
      <c r="Z89" s="887"/>
    </row>
    <row r="90" spans="1:26" ht="18.75" hidden="1">
      <c r="A90" s="1005"/>
      <c r="B90" s="895"/>
      <c r="C90" s="895"/>
      <c r="D90" s="895"/>
      <c r="E90" s="896" t="s">
        <v>19</v>
      </c>
      <c r="F90" s="895"/>
      <c r="G90" s="1006"/>
      <c r="H90" s="158" t="s">
        <v>12</v>
      </c>
      <c r="I90" s="898"/>
      <c r="J90" s="898"/>
      <c r="K90" s="899"/>
      <c r="L90" s="899">
        <f t="shared" ca="1" si="52"/>
        <v>98960</v>
      </c>
      <c r="M90" s="899">
        <f t="shared" ca="1" si="52"/>
        <v>63010</v>
      </c>
      <c r="N90" s="899">
        <f t="shared" ca="1" si="52"/>
        <v>55151.5</v>
      </c>
      <c r="O90" s="899">
        <f t="shared" ca="1" si="50"/>
        <v>55.731103476151979</v>
      </c>
      <c r="P90" s="899">
        <f t="shared" ca="1" si="51"/>
        <v>87.528170131725119</v>
      </c>
      <c r="Q90" s="887"/>
      <c r="R90" s="887"/>
      <c r="S90" s="887"/>
      <c r="T90" s="887"/>
      <c r="U90" s="887"/>
      <c r="V90" s="887"/>
      <c r="W90" s="887"/>
      <c r="X90" s="887"/>
      <c r="Y90" s="887"/>
      <c r="Z90" s="887"/>
    </row>
    <row r="91" spans="1:26" ht="18.75">
      <c r="A91" s="1007"/>
      <c r="B91" s="889"/>
      <c r="C91" s="1008"/>
      <c r="D91" s="890" t="s">
        <v>20</v>
      </c>
      <c r="E91" s="889"/>
      <c r="F91" s="889"/>
      <c r="G91" s="891"/>
      <c r="H91" s="161" t="s">
        <v>12</v>
      </c>
      <c r="I91" s="1009"/>
      <c r="J91" s="1009"/>
      <c r="K91" s="1010"/>
      <c r="L91" s="893">
        <f t="shared" ref="L91:N91" ca="1" si="53">L92+L93</f>
        <v>98960</v>
      </c>
      <c r="M91" s="893">
        <f t="shared" ca="1" si="53"/>
        <v>63010</v>
      </c>
      <c r="N91" s="893">
        <f t="shared" ca="1" si="53"/>
        <v>55151.5</v>
      </c>
      <c r="O91" s="893">
        <f t="shared" ca="1" si="50"/>
        <v>55.731103476151979</v>
      </c>
      <c r="P91" s="893">
        <f t="shared" ca="1" si="51"/>
        <v>87.528170131725119</v>
      </c>
      <c r="Q91" s="880"/>
      <c r="R91" s="880"/>
      <c r="S91" s="880"/>
      <c r="T91" s="880"/>
      <c r="U91" s="880"/>
      <c r="V91" s="880"/>
      <c r="W91" s="880"/>
      <c r="X91" s="880"/>
      <c r="Y91" s="880"/>
      <c r="Z91" s="880"/>
    </row>
    <row r="92" spans="1:26" ht="19.5" hidden="1">
      <c r="A92" s="1005"/>
      <c r="B92" s="895"/>
      <c r="C92" s="1011"/>
      <c r="D92" s="895"/>
      <c r="E92" s="896" t="s">
        <v>36</v>
      </c>
      <c r="F92" s="895"/>
      <c r="G92" s="1006"/>
      <c r="H92" s="165" t="s">
        <v>12</v>
      </c>
      <c r="I92" s="1012"/>
      <c r="J92" s="1012"/>
      <c r="K92" s="1013"/>
      <c r="L92" s="899">
        <v>0</v>
      </c>
      <c r="M92" s="899">
        <v>0</v>
      </c>
      <c r="N92" s="899">
        <v>0</v>
      </c>
      <c r="O92" s="899">
        <f t="shared" si="50"/>
        <v>0</v>
      </c>
      <c r="P92" s="899">
        <f t="shared" si="51"/>
        <v>0</v>
      </c>
      <c r="Q92" s="887"/>
      <c r="R92" s="887"/>
      <c r="S92" s="887"/>
      <c r="T92" s="887"/>
      <c r="U92" s="887"/>
      <c r="V92" s="887"/>
      <c r="W92" s="887"/>
      <c r="X92" s="887"/>
      <c r="Y92" s="887"/>
      <c r="Z92" s="887"/>
    </row>
    <row r="93" spans="1:26" ht="19.5" hidden="1">
      <c r="A93" s="1005"/>
      <c r="B93" s="895"/>
      <c r="C93" s="1011"/>
      <c r="D93" s="895"/>
      <c r="E93" s="896" t="s">
        <v>37</v>
      </c>
      <c r="F93" s="895"/>
      <c r="G93" s="1006"/>
      <c r="H93" s="165" t="s">
        <v>12</v>
      </c>
      <c r="I93" s="1012"/>
      <c r="J93" s="1012"/>
      <c r="K93" s="1013"/>
      <c r="L93" s="899">
        <f ca="1">IFERROR(__xludf.DUMMYFUNCTION("IMPORTRANGE(""https://docs.google.com/spreadsheets/d/1MeEWN-I1oV_STSDYn1IFDPWt_1FKiwhDph83XaGc0o0/edit?usp=sharing"",""งบพรบ!AQ51"")"),98960)</f>
        <v>98960</v>
      </c>
      <c r="M93" s="899">
        <f ca="1">IFERROR(__xludf.DUMMYFUNCTION("IMPORTRANGE(""https://docs.google.com/spreadsheets/d/1MeEWN-I1oV_STSDYn1IFDPWt_1FKiwhDph83XaGc0o0/edit?usp=sharing"",""งบพรบ!AV51"")"),63010)</f>
        <v>63010</v>
      </c>
      <c r="N93" s="899">
        <f ca="1">IFERROR(__xludf.DUMMYFUNCTION("IMPORTRANGE(""https://docs.google.com/spreadsheets/d/1MeEWN-I1oV_STSDYn1IFDPWt_1FKiwhDph83XaGc0o0/edit?usp=sharing"",""งบพรบ!AX51"")"),55151.5)</f>
        <v>55151.5</v>
      </c>
      <c r="O93" s="899">
        <f t="shared" ca="1" si="50"/>
        <v>55.731103476151979</v>
      </c>
      <c r="P93" s="899">
        <f t="shared" ca="1" si="51"/>
        <v>87.528170131725119</v>
      </c>
      <c r="Q93" s="887"/>
      <c r="R93" s="887"/>
      <c r="S93" s="887"/>
      <c r="T93" s="887"/>
      <c r="U93" s="887"/>
      <c r="V93" s="887"/>
      <c r="W93" s="887"/>
      <c r="X93" s="887"/>
      <c r="Y93" s="887"/>
      <c r="Z93" s="887"/>
    </row>
    <row r="94" spans="1:26" ht="18.75">
      <c r="A94" s="1007"/>
      <c r="B94" s="889"/>
      <c r="C94" s="1008"/>
      <c r="D94" s="890" t="s">
        <v>21</v>
      </c>
      <c r="E94" s="889"/>
      <c r="F94" s="889"/>
      <c r="G94" s="891"/>
      <c r="H94" s="168" t="s">
        <v>12</v>
      </c>
      <c r="I94" s="1009"/>
      <c r="J94" s="1009"/>
      <c r="K94" s="1010"/>
      <c r="L94" s="893">
        <f t="shared" ref="L94:N94" ca="1" si="54">L95+L96</f>
        <v>0</v>
      </c>
      <c r="M94" s="893">
        <f t="shared" ca="1" si="54"/>
        <v>0</v>
      </c>
      <c r="N94" s="893">
        <f t="shared" ca="1" si="54"/>
        <v>0</v>
      </c>
      <c r="O94" s="893">
        <f t="shared" ca="1" si="50"/>
        <v>0</v>
      </c>
      <c r="P94" s="893">
        <f t="shared" ca="1" si="51"/>
        <v>0</v>
      </c>
      <c r="Q94" s="880"/>
      <c r="R94" s="880"/>
      <c r="S94" s="880"/>
      <c r="T94" s="880"/>
      <c r="U94" s="880"/>
      <c r="V94" s="880"/>
      <c r="W94" s="880"/>
      <c r="X94" s="880"/>
      <c r="Y94" s="880"/>
      <c r="Z94" s="880"/>
    </row>
    <row r="95" spans="1:26" ht="19.5" hidden="1">
      <c r="A95" s="1005"/>
      <c r="B95" s="895"/>
      <c r="C95" s="1011"/>
      <c r="D95" s="895"/>
      <c r="E95" s="896" t="s">
        <v>18</v>
      </c>
      <c r="F95" s="895"/>
      <c r="G95" s="1006"/>
      <c r="H95" s="165" t="s">
        <v>12</v>
      </c>
      <c r="I95" s="1012"/>
      <c r="J95" s="1012"/>
      <c r="K95" s="1013"/>
      <c r="L95" s="899">
        <v>0</v>
      </c>
      <c r="M95" s="899">
        <v>0</v>
      </c>
      <c r="N95" s="899">
        <v>0</v>
      </c>
      <c r="O95" s="899">
        <f t="shared" si="50"/>
        <v>0</v>
      </c>
      <c r="P95" s="899">
        <f t="shared" si="51"/>
        <v>0</v>
      </c>
      <c r="Q95" s="887"/>
      <c r="R95" s="887"/>
      <c r="S95" s="887"/>
      <c r="T95" s="887"/>
      <c r="U95" s="887"/>
      <c r="V95" s="887"/>
      <c r="W95" s="887"/>
      <c r="X95" s="887"/>
      <c r="Y95" s="887"/>
      <c r="Z95" s="887"/>
    </row>
    <row r="96" spans="1:26" ht="19.5" hidden="1">
      <c r="A96" s="1005"/>
      <c r="B96" s="895"/>
      <c r="C96" s="1011"/>
      <c r="D96" s="895"/>
      <c r="E96" s="896" t="s">
        <v>19</v>
      </c>
      <c r="F96" s="895"/>
      <c r="G96" s="1006"/>
      <c r="H96" s="169" t="s">
        <v>12</v>
      </c>
      <c r="I96" s="1012"/>
      <c r="J96" s="1012"/>
      <c r="K96" s="1013"/>
      <c r="L96" s="899">
        <f ca="1">IFERROR(__xludf.DUMMYFUNCTION("IMPORTRANGE(""https://docs.google.com/spreadsheets/d/1MeEWN-I1oV_STSDYn1IFDPWt_1FKiwhDph83XaGc0o0/edit?usp=sharing"",""งบพรบ!AT51"")"),0)</f>
        <v>0</v>
      </c>
      <c r="M96" s="899">
        <f ca="1">IFERROR(__xludf.DUMMYFUNCTION("IMPORTRANGE(""https://docs.google.com/spreadsheets/d/1MeEWN-I1oV_STSDYn1IFDPWt_1FKiwhDph83XaGc0o0/edit?usp=sharing"",""งบพรบ!AW51"")"),0)</f>
        <v>0</v>
      </c>
      <c r="N96" s="899">
        <f ca="1">IFERROR(__xludf.DUMMYFUNCTION("IMPORTRANGE(""https://docs.google.com/spreadsheets/d/1MeEWN-I1oV_STSDYn1IFDPWt_1FKiwhDph83XaGc0o0/edit?usp=sharing"",""งบพรบ!AY51"")"),0)</f>
        <v>0</v>
      </c>
      <c r="O96" s="899">
        <f t="shared" ca="1" si="50"/>
        <v>0</v>
      </c>
      <c r="P96" s="899">
        <f t="shared" ca="1" si="51"/>
        <v>0</v>
      </c>
      <c r="Q96" s="887"/>
      <c r="R96" s="887"/>
      <c r="S96" s="887"/>
      <c r="T96" s="887"/>
      <c r="U96" s="887"/>
      <c r="V96" s="887"/>
      <c r="W96" s="887"/>
      <c r="X96" s="887"/>
      <c r="Y96" s="887"/>
      <c r="Z96" s="887"/>
    </row>
    <row r="97" spans="1:16" ht="19.5">
      <c r="A97" s="1014"/>
      <c r="B97" s="1015"/>
      <c r="C97" s="1011" t="s">
        <v>16</v>
      </c>
      <c r="D97" s="1016" t="s">
        <v>38</v>
      </c>
      <c r="E97" s="1017"/>
      <c r="F97" s="1017"/>
      <c r="G97" s="1018"/>
      <c r="H97" s="1019"/>
      <c r="I97" s="1009"/>
      <c r="J97" s="892"/>
      <c r="K97" s="893"/>
      <c r="L97" s="893"/>
      <c r="M97" s="893"/>
      <c r="N97" s="893"/>
      <c r="O97" s="1010"/>
      <c r="P97" s="1010"/>
    </row>
    <row r="98" spans="1:16" ht="18.75">
      <c r="A98" s="1014"/>
      <c r="B98" s="1015"/>
      <c r="C98" s="1015"/>
      <c r="D98" s="1021" t="s">
        <v>47</v>
      </c>
      <c r="E98" s="1021"/>
      <c r="F98" s="1022"/>
      <c r="G98" s="1023"/>
      <c r="H98" s="621" t="s">
        <v>46</v>
      </c>
      <c r="I98" s="892">
        <f ca="1">IFERROR(__xludf.DUMMYFUNCTION("IMPORTRANGE(""https://docs.google.com/spreadsheets/d/1QqKyyYR6Q21VydFLVH3TRQUabQu_ym0Zz7PgGX0-kHA/edit?usp=sharing"",""แผน!K51"")"),45)</f>
        <v>45</v>
      </c>
      <c r="J98" s="892">
        <f>J102</f>
        <v>45</v>
      </c>
      <c r="K98" s="893">
        <f t="shared" ref="K98:K100" ca="1" si="55">IF(I98&gt;0,J98*100/I98,0)</f>
        <v>100</v>
      </c>
      <c r="L98" s="893"/>
      <c r="M98" s="893"/>
      <c r="N98" s="893"/>
      <c r="O98" s="1010"/>
      <c r="P98" s="1010"/>
    </row>
    <row r="99" spans="1:16" ht="18.75">
      <c r="A99" s="1014"/>
      <c r="B99" s="1015"/>
      <c r="C99" s="1015"/>
      <c r="D99" s="1021" t="s">
        <v>48</v>
      </c>
      <c r="E99" s="1021"/>
      <c r="F99" s="1022"/>
      <c r="G99" s="1023"/>
      <c r="H99" s="621" t="s">
        <v>35</v>
      </c>
      <c r="I99" s="892">
        <f ca="1">IFERROR(__xludf.DUMMYFUNCTION("IMPORTRANGE(""https://docs.google.com/spreadsheets/d/1QqKyyYR6Q21VydFLVH3TRQUabQu_ym0Zz7PgGX0-kHA/edit?usp=sharing"",""แผน!L51"")"),15)</f>
        <v>15</v>
      </c>
      <c r="J99" s="892">
        <f>J104</f>
        <v>15</v>
      </c>
      <c r="K99" s="893">
        <f t="shared" ca="1" si="55"/>
        <v>100</v>
      </c>
      <c r="L99" s="893"/>
      <c r="M99" s="893"/>
      <c r="N99" s="893"/>
      <c r="O99" s="1010"/>
      <c r="P99" s="1010"/>
    </row>
    <row r="100" spans="1:16" ht="18.75">
      <c r="A100" s="1014"/>
      <c r="B100" s="1015"/>
      <c r="C100" s="1015"/>
      <c r="D100" s="1015"/>
      <c r="E100" s="1022"/>
      <c r="F100" s="1022"/>
      <c r="G100" s="1023"/>
      <c r="H100" s="621" t="s">
        <v>49</v>
      </c>
      <c r="I100" s="892">
        <f ca="1">IFERROR(__xludf.DUMMYFUNCTION("IMPORTRANGE(""https://docs.google.com/spreadsheets/d/1QqKyyYR6Q21VydFLVH3TRQUabQu_ym0Zz7PgGX0-kHA/edit?usp=sharing"",""แผน!M51"")"),2)</f>
        <v>2</v>
      </c>
      <c r="J100" s="892">
        <f>J107+J110</f>
        <v>1</v>
      </c>
      <c r="K100" s="893">
        <f t="shared" ca="1" si="55"/>
        <v>50</v>
      </c>
      <c r="L100" s="893"/>
      <c r="M100" s="893"/>
      <c r="N100" s="893"/>
      <c r="O100" s="1010"/>
      <c r="P100" s="1010"/>
    </row>
    <row r="101" spans="1:16" ht="19.5">
      <c r="A101" s="1014"/>
      <c r="B101" s="1015"/>
      <c r="C101" s="1015"/>
      <c r="D101" s="1022"/>
      <c r="E101" s="1025" t="s">
        <v>50</v>
      </c>
      <c r="F101" s="1022"/>
      <c r="G101" s="1023"/>
      <c r="H101" s="621"/>
      <c r="I101" s="892"/>
      <c r="J101" s="892"/>
      <c r="K101" s="893"/>
      <c r="L101" s="893"/>
      <c r="M101" s="893"/>
      <c r="N101" s="893"/>
      <c r="O101" s="1010"/>
      <c r="P101" s="1010"/>
    </row>
    <row r="102" spans="1:16" ht="18.75">
      <c r="A102" s="1014"/>
      <c r="B102" s="1015"/>
      <c r="C102" s="1015"/>
      <c r="D102" s="1022"/>
      <c r="E102" s="1026" t="s">
        <v>47</v>
      </c>
      <c r="F102" s="1022"/>
      <c r="G102" s="1023"/>
      <c r="H102" s="621" t="s">
        <v>46</v>
      </c>
      <c r="I102" s="892">
        <f ca="1">IFERROR(__xludf.DUMMYFUNCTION("IMPORTRANGE(""https://docs.google.com/spreadsheets/d/1QqKyyYR6Q21VydFLVH3TRQUabQu_ym0Zz7PgGX0-kHA/edit?usp=sharing"",""แผน!N51"")"),45)</f>
        <v>45</v>
      </c>
      <c r="J102" s="1024">
        <v>45</v>
      </c>
      <c r="K102" s="893">
        <f t="shared" ref="K102:K104" ca="1" si="56">IF(I102&gt;0,J102*100/I102,0)</f>
        <v>100</v>
      </c>
      <c r="L102" s="893"/>
      <c r="M102" s="893"/>
      <c r="N102" s="893"/>
      <c r="O102" s="1010"/>
      <c r="P102" s="1010"/>
    </row>
    <row r="103" spans="1:16" ht="19.5">
      <c r="A103" s="1014"/>
      <c r="B103" s="1015"/>
      <c r="C103" s="1015"/>
      <c r="D103" s="1022"/>
      <c r="E103" s="1021" t="s">
        <v>51</v>
      </c>
      <c r="F103" s="1022"/>
      <c r="G103" s="1023"/>
      <c r="H103" s="621" t="s">
        <v>35</v>
      </c>
      <c r="I103" s="892">
        <f ca="1">IFERROR(__xludf.DUMMYFUNCTION("IMPORTRANGE(""https://docs.google.com/spreadsheets/d/1QqKyyYR6Q21VydFLVH3TRQUabQu_ym0Zz7PgGX0-kHA/edit?usp=sharing"",""แผน!O51"")"),15)</f>
        <v>15</v>
      </c>
      <c r="J103" s="1024">
        <v>15</v>
      </c>
      <c r="K103" s="893">
        <f t="shared" ca="1" si="56"/>
        <v>100</v>
      </c>
      <c r="L103" s="893"/>
      <c r="M103" s="893"/>
      <c r="N103" s="893"/>
      <c r="O103" s="1010"/>
      <c r="P103" s="1010"/>
    </row>
    <row r="104" spans="1:16" ht="18.75">
      <c r="A104" s="1014"/>
      <c r="B104" s="1015"/>
      <c r="C104" s="1015"/>
      <c r="D104" s="1022"/>
      <c r="E104" s="1027" t="s">
        <v>52</v>
      </c>
      <c r="F104" s="1022"/>
      <c r="G104" s="1023"/>
      <c r="H104" s="621" t="s">
        <v>35</v>
      </c>
      <c r="I104" s="892">
        <f ca="1">IFERROR(__xludf.DUMMYFUNCTION("IMPORTRANGE(""https://docs.google.com/spreadsheets/d/1QqKyyYR6Q21VydFLVH3TRQUabQu_ym0Zz7PgGX0-kHA/edit?usp=sharing"",""แผน!O51"")"),15)</f>
        <v>15</v>
      </c>
      <c r="J104" s="1024">
        <v>15</v>
      </c>
      <c r="K104" s="893">
        <f t="shared" ca="1" si="56"/>
        <v>100</v>
      </c>
      <c r="L104" s="893"/>
      <c r="M104" s="893"/>
      <c r="N104" s="893"/>
      <c r="O104" s="1010"/>
      <c r="P104" s="1010"/>
    </row>
    <row r="105" spans="1:16" ht="19.5">
      <c r="A105" s="1014"/>
      <c r="B105" s="1015"/>
      <c r="C105" s="1015"/>
      <c r="D105" s="1022"/>
      <c r="E105" s="1025" t="s">
        <v>53</v>
      </c>
      <c r="F105" s="1022"/>
      <c r="G105" s="1023"/>
      <c r="H105" s="1028"/>
      <c r="I105" s="892"/>
      <c r="J105" s="892"/>
      <c r="K105" s="893"/>
      <c r="L105" s="893"/>
      <c r="M105" s="893"/>
      <c r="N105" s="893"/>
      <c r="O105" s="1010"/>
      <c r="P105" s="1010"/>
    </row>
    <row r="106" spans="1:16" ht="19.5">
      <c r="A106" s="1014"/>
      <c r="B106" s="1015"/>
      <c r="C106" s="1015"/>
      <c r="D106" s="1022"/>
      <c r="E106" s="1021" t="s">
        <v>54</v>
      </c>
      <c r="F106" s="1022"/>
      <c r="G106" s="1023"/>
      <c r="H106" s="621" t="s">
        <v>49</v>
      </c>
      <c r="I106" s="892">
        <f ca="1">IFERROR(__xludf.DUMMYFUNCTION("IMPORTRANGE(""https://docs.google.com/spreadsheets/d/1QqKyyYR6Q21VydFLVH3TRQUabQu_ym0Zz7PgGX0-kHA/edit?usp=sharing"",""แผน!P51"")"),1)</f>
        <v>1</v>
      </c>
      <c r="J106" s="1024">
        <v>1</v>
      </c>
      <c r="K106" s="893">
        <f t="shared" ref="K106:K107" ca="1" si="57">IF(I106&gt;0,J106*100/I106,0)</f>
        <v>100</v>
      </c>
      <c r="L106" s="893"/>
      <c r="M106" s="893"/>
      <c r="N106" s="893"/>
      <c r="O106" s="1010"/>
      <c r="P106" s="1010"/>
    </row>
    <row r="107" spans="1:16" ht="18.75">
      <c r="A107" s="1014"/>
      <c r="B107" s="1015"/>
      <c r="C107" s="1015"/>
      <c r="D107" s="1022"/>
      <c r="E107" s="1027" t="s">
        <v>55</v>
      </c>
      <c r="F107" s="1022"/>
      <c r="G107" s="1023"/>
      <c r="H107" s="621" t="s">
        <v>49</v>
      </c>
      <c r="I107" s="892">
        <f ca="1">IFERROR(__xludf.DUMMYFUNCTION("IMPORTRANGE(""https://docs.google.com/spreadsheets/d/1QqKyyYR6Q21VydFLVH3TRQUabQu_ym0Zz7PgGX0-kHA/edit?usp=sharing"",""แผน!P51"")"),1)</f>
        <v>1</v>
      </c>
      <c r="J107" s="1024">
        <v>1</v>
      </c>
      <c r="K107" s="893">
        <f t="shared" ca="1" si="57"/>
        <v>100</v>
      </c>
      <c r="L107" s="893"/>
      <c r="M107" s="893"/>
      <c r="N107" s="893"/>
      <c r="O107" s="1010"/>
      <c r="P107" s="1010"/>
    </row>
    <row r="108" spans="1:16" ht="19.5">
      <c r="A108" s="1014"/>
      <c r="B108" s="1015"/>
      <c r="C108" s="1015"/>
      <c r="D108" s="1022"/>
      <c r="E108" s="1025" t="s">
        <v>56</v>
      </c>
      <c r="F108" s="1022"/>
      <c r="G108" s="1023"/>
      <c r="H108" s="1028"/>
      <c r="I108" s="892"/>
      <c r="J108" s="892"/>
      <c r="K108" s="893"/>
      <c r="L108" s="893"/>
      <c r="M108" s="893"/>
      <c r="N108" s="893"/>
      <c r="O108" s="1010"/>
      <c r="P108" s="1010"/>
    </row>
    <row r="109" spans="1:16" ht="19.5">
      <c r="A109" s="1014"/>
      <c r="B109" s="1015"/>
      <c r="C109" s="1015"/>
      <c r="D109" s="1022"/>
      <c r="E109" s="1021" t="s">
        <v>57</v>
      </c>
      <c r="F109" s="1022"/>
      <c r="G109" s="1023"/>
      <c r="H109" s="621" t="s">
        <v>49</v>
      </c>
      <c r="I109" s="892">
        <f ca="1">IFERROR(__xludf.DUMMYFUNCTION("IMPORTRANGE(""https://docs.google.com/spreadsheets/d/1QqKyyYR6Q21VydFLVH3TRQUabQu_ym0Zz7PgGX0-kHA/edit?usp=sharing"",""แผน!Q51"")"),1)</f>
        <v>1</v>
      </c>
      <c r="J109" s="1024">
        <v>0</v>
      </c>
      <c r="K109" s="893">
        <f t="shared" ref="K109:K116" ca="1" si="58">IF(I109&gt;0,J109*100/I109,0)</f>
        <v>0</v>
      </c>
      <c r="L109" s="893"/>
      <c r="M109" s="893"/>
      <c r="N109" s="893"/>
      <c r="O109" s="1010"/>
      <c r="P109" s="1010"/>
    </row>
    <row r="110" spans="1:16" ht="18.75">
      <c r="A110" s="1014"/>
      <c r="B110" s="1015"/>
      <c r="C110" s="1015"/>
      <c r="D110" s="1022"/>
      <c r="E110" s="1029" t="s">
        <v>58</v>
      </c>
      <c r="F110" s="1022"/>
      <c r="G110" s="1023"/>
      <c r="H110" s="621" t="s">
        <v>49</v>
      </c>
      <c r="I110" s="892">
        <f ca="1">IFERROR(__xludf.DUMMYFUNCTION("IMPORTRANGE(""https://docs.google.com/spreadsheets/d/1QqKyyYR6Q21VydFLVH3TRQUabQu_ym0Zz7PgGX0-kHA/edit?usp=sharing"",""แผน!Q51"")"),1)</f>
        <v>1</v>
      </c>
      <c r="J110" s="1024">
        <v>0</v>
      </c>
      <c r="K110" s="893">
        <f t="shared" ca="1" si="58"/>
        <v>0</v>
      </c>
      <c r="L110" s="893"/>
      <c r="M110" s="893"/>
      <c r="N110" s="893"/>
      <c r="O110" s="1010"/>
      <c r="P110" s="1010"/>
    </row>
    <row r="111" spans="1:16" ht="19.5">
      <c r="A111" s="1014"/>
      <c r="B111" s="1015"/>
      <c r="C111" s="1015"/>
      <c r="D111" s="1025" t="s">
        <v>59</v>
      </c>
      <c r="E111" s="1025"/>
      <c r="F111" s="1022"/>
      <c r="G111" s="1023"/>
      <c r="H111" s="764" t="s">
        <v>35</v>
      </c>
      <c r="I111" s="1030">
        <f ca="1">IFERROR(__xludf.DUMMYFUNCTION("IMPORTRANGE(""https://docs.google.com/spreadsheets/d/1QqKyyYR6Q21VydFLVH3TRQUabQu_ym0Zz7PgGX0-kHA/edit?usp=sharing"",""แผน!R51"")"),15)</f>
        <v>15</v>
      </c>
      <c r="J111" s="1031">
        <f>J114</f>
        <v>0</v>
      </c>
      <c r="K111" s="1032">
        <f t="shared" ca="1" si="58"/>
        <v>0</v>
      </c>
      <c r="L111" s="893"/>
      <c r="M111" s="893"/>
      <c r="N111" s="893"/>
      <c r="O111" s="1010"/>
      <c r="P111" s="1010"/>
    </row>
    <row r="112" spans="1:16" ht="19.5">
      <c r="A112" s="1014"/>
      <c r="B112" s="1015"/>
      <c r="C112" s="1015"/>
      <c r="D112" s="1015"/>
      <c r="E112" s="1022"/>
      <c r="F112" s="1022"/>
      <c r="G112" s="1023"/>
      <c r="H112" s="196" t="s">
        <v>49</v>
      </c>
      <c r="I112" s="1030">
        <f t="shared" ref="I112:J112" ca="1" si="59">I115+I116</f>
        <v>2</v>
      </c>
      <c r="J112" s="1031">
        <f t="shared" si="59"/>
        <v>0</v>
      </c>
      <c r="K112" s="1032">
        <f t="shared" ca="1" si="58"/>
        <v>0</v>
      </c>
      <c r="L112" s="893"/>
      <c r="M112" s="893"/>
      <c r="N112" s="893"/>
      <c r="O112" s="1010"/>
      <c r="P112" s="1010"/>
    </row>
    <row r="113" spans="1:26" ht="19.5">
      <c r="A113" s="1014"/>
      <c r="B113" s="1015"/>
      <c r="C113" s="1015"/>
      <c r="D113" s="1015"/>
      <c r="E113" s="1033" t="s">
        <v>60</v>
      </c>
      <c r="F113" s="1022"/>
      <c r="G113" s="1023"/>
      <c r="H113" s="198" t="s">
        <v>35</v>
      </c>
      <c r="I113" s="1009">
        <f ca="1">IFERROR(__xludf.DUMMYFUNCTION("IMPORTRANGE(""https://docs.google.com/spreadsheets/d/1QqKyyYR6Q21VydFLVH3TRQUabQu_ym0Zz7PgGX0-kHA/edit?usp=sharing"",""แผน!R51"")"),15)</f>
        <v>15</v>
      </c>
      <c r="J113" s="1024">
        <v>0</v>
      </c>
      <c r="K113" s="893">
        <f t="shared" ca="1" si="58"/>
        <v>0</v>
      </c>
      <c r="L113" s="893"/>
      <c r="M113" s="893"/>
      <c r="N113" s="893"/>
      <c r="O113" s="1010"/>
      <c r="P113" s="1010"/>
    </row>
    <row r="114" spans="1:26" ht="19.5">
      <c r="A114" s="1014"/>
      <c r="B114" s="1015"/>
      <c r="C114" s="1015"/>
      <c r="D114" s="1015"/>
      <c r="E114" s="1021" t="s">
        <v>61</v>
      </c>
      <c r="F114" s="1022"/>
      <c r="G114" s="1023"/>
      <c r="H114" s="199" t="s">
        <v>35</v>
      </c>
      <c r="I114" s="1009">
        <f ca="1">IFERROR(__xludf.DUMMYFUNCTION("IMPORTRANGE(""https://docs.google.com/spreadsheets/d/1QqKyyYR6Q21VydFLVH3TRQUabQu_ym0Zz7PgGX0-kHA/edit?usp=sharing"",""แผน!R51"")"),15)</f>
        <v>15</v>
      </c>
      <c r="J114" s="1024">
        <v>0</v>
      </c>
      <c r="K114" s="893">
        <f t="shared" ca="1" si="58"/>
        <v>0</v>
      </c>
      <c r="L114" s="893"/>
      <c r="M114" s="893"/>
      <c r="N114" s="893"/>
      <c r="O114" s="1010"/>
      <c r="P114" s="1010"/>
    </row>
    <row r="115" spans="1:26" ht="18.75">
      <c r="A115" s="1014"/>
      <c r="B115" s="1015"/>
      <c r="C115" s="1015"/>
      <c r="D115" s="1015"/>
      <c r="E115" s="1021" t="s">
        <v>62</v>
      </c>
      <c r="F115" s="1022"/>
      <c r="G115" s="1023"/>
      <c r="H115" s="199" t="s">
        <v>49</v>
      </c>
      <c r="I115" s="1009">
        <f ca="1">IFERROR(__xludf.DUMMYFUNCTION("IMPORTRANGE(""https://docs.google.com/spreadsheets/d/1QqKyyYR6Q21VydFLVH3TRQUabQu_ym0Zz7PgGX0-kHA/edit?usp=sharing"",""แผน!S51"")"),1)</f>
        <v>1</v>
      </c>
      <c r="J115" s="1024">
        <v>0</v>
      </c>
      <c r="K115" s="893">
        <f t="shared" ca="1" si="58"/>
        <v>0</v>
      </c>
      <c r="L115" s="893"/>
      <c r="M115" s="893"/>
      <c r="N115" s="893"/>
      <c r="O115" s="1010"/>
      <c r="P115" s="1010"/>
    </row>
    <row r="116" spans="1:26" ht="18.75">
      <c r="A116" s="1014"/>
      <c r="B116" s="1015"/>
      <c r="C116" s="1015"/>
      <c r="D116" s="1015"/>
      <c r="E116" s="1021" t="s">
        <v>63</v>
      </c>
      <c r="F116" s="1022"/>
      <c r="G116" s="1023"/>
      <c r="H116" s="199" t="s">
        <v>49</v>
      </c>
      <c r="I116" s="1009">
        <f ca="1">IFERROR(__xludf.DUMMYFUNCTION("IMPORTRANGE(""https://docs.google.com/spreadsheets/d/1QqKyyYR6Q21VydFLVH3TRQUabQu_ym0Zz7PgGX0-kHA/edit?usp=sharing"",""แผน!T51"")"),1)</f>
        <v>1</v>
      </c>
      <c r="J116" s="1024">
        <v>0</v>
      </c>
      <c r="K116" s="893">
        <f t="shared" ca="1" si="58"/>
        <v>0</v>
      </c>
      <c r="L116" s="893"/>
      <c r="M116" s="893"/>
      <c r="N116" s="893"/>
      <c r="O116" s="1010"/>
      <c r="P116" s="1010"/>
    </row>
    <row r="117" spans="1:26" ht="19.5" hidden="1">
      <c r="A117" s="982" t="s">
        <v>64</v>
      </c>
      <c r="B117" s="983"/>
      <c r="C117" s="1034"/>
      <c r="D117" s="983"/>
      <c r="E117" s="983"/>
      <c r="F117" s="983"/>
      <c r="G117" s="983"/>
      <c r="H117" s="1035"/>
      <c r="I117" s="1036"/>
      <c r="J117" s="1036"/>
      <c r="K117" s="1037"/>
      <c r="L117" s="988"/>
      <c r="M117" s="988"/>
      <c r="N117" s="988"/>
      <c r="O117" s="988"/>
      <c r="P117" s="988"/>
    </row>
    <row r="118" spans="1:26" ht="19.5" hidden="1">
      <c r="A118" s="989"/>
      <c r="B118" s="990" t="s">
        <v>65</v>
      </c>
      <c r="C118" s="1038"/>
      <c r="D118" s="992"/>
      <c r="E118" s="991"/>
      <c r="F118" s="991"/>
      <c r="G118" s="993"/>
      <c r="H118" s="205"/>
      <c r="I118" s="1039">
        <v>0</v>
      </c>
      <c r="J118" s="1039">
        <v>0</v>
      </c>
      <c r="K118" s="996">
        <v>0</v>
      </c>
      <c r="L118" s="996"/>
      <c r="M118" s="996"/>
      <c r="N118" s="996"/>
      <c r="O118" s="996"/>
      <c r="P118" s="996"/>
    </row>
    <row r="119" spans="1:26" ht="19.5" hidden="1">
      <c r="A119" s="997"/>
      <c r="B119" s="998"/>
      <c r="C119" s="999" t="s">
        <v>16</v>
      </c>
      <c r="D119" s="1000" t="s">
        <v>17</v>
      </c>
      <c r="E119" s="998"/>
      <c r="F119" s="998"/>
      <c r="G119" s="1001"/>
      <c r="H119" s="152" t="s">
        <v>12</v>
      </c>
      <c r="I119" s="1002"/>
      <c r="J119" s="1002"/>
      <c r="K119" s="1003"/>
      <c r="L119" s="1004">
        <f t="shared" ref="L119:N119" ca="1" si="60">L120+L121</f>
        <v>0</v>
      </c>
      <c r="M119" s="1004">
        <f t="shared" ca="1" si="60"/>
        <v>0</v>
      </c>
      <c r="N119" s="1004">
        <f t="shared" ca="1" si="60"/>
        <v>0</v>
      </c>
      <c r="O119" s="1004">
        <f t="shared" ref="O119:O127" ca="1" si="61">IF(L119&gt;0,N119*100/L119,0)</f>
        <v>0</v>
      </c>
      <c r="P119" s="1004">
        <f t="shared" ref="P119:P127" ca="1" si="62">IF(M119&gt;0,N119*100/M119,0)</f>
        <v>0</v>
      </c>
      <c r="Q119" s="880"/>
      <c r="R119" s="880"/>
      <c r="S119" s="880"/>
      <c r="T119" s="880"/>
      <c r="U119" s="880"/>
      <c r="V119" s="880"/>
      <c r="W119" s="880"/>
      <c r="X119" s="880"/>
      <c r="Y119" s="880"/>
      <c r="Z119" s="880"/>
    </row>
    <row r="120" spans="1:26" ht="18.75" hidden="1">
      <c r="A120" s="1005"/>
      <c r="B120" s="895"/>
      <c r="C120" s="895"/>
      <c r="D120" s="895"/>
      <c r="E120" s="896" t="s">
        <v>18</v>
      </c>
      <c r="F120" s="895"/>
      <c r="G120" s="1006"/>
      <c r="H120" s="158" t="s">
        <v>12</v>
      </c>
      <c r="I120" s="898"/>
      <c r="J120" s="898"/>
      <c r="K120" s="899"/>
      <c r="L120" s="899">
        <f t="shared" ref="L120:N121" si="63">L123+L126</f>
        <v>0</v>
      </c>
      <c r="M120" s="899">
        <f t="shared" si="63"/>
        <v>0</v>
      </c>
      <c r="N120" s="899">
        <f t="shared" si="63"/>
        <v>0</v>
      </c>
      <c r="O120" s="899">
        <f t="shared" si="61"/>
        <v>0</v>
      </c>
      <c r="P120" s="899">
        <f t="shared" si="62"/>
        <v>0</v>
      </c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</row>
    <row r="121" spans="1:26" ht="18.75" hidden="1">
      <c r="A121" s="1005"/>
      <c r="B121" s="895"/>
      <c r="C121" s="895"/>
      <c r="D121" s="895"/>
      <c r="E121" s="896" t="s">
        <v>19</v>
      </c>
      <c r="F121" s="895"/>
      <c r="G121" s="1006"/>
      <c r="H121" s="158" t="s">
        <v>12</v>
      </c>
      <c r="I121" s="898"/>
      <c r="J121" s="898"/>
      <c r="K121" s="899"/>
      <c r="L121" s="899">
        <f t="shared" ca="1" si="63"/>
        <v>0</v>
      </c>
      <c r="M121" s="899">
        <f t="shared" ca="1" si="63"/>
        <v>0</v>
      </c>
      <c r="N121" s="899">
        <f t="shared" ca="1" si="63"/>
        <v>0</v>
      </c>
      <c r="O121" s="899">
        <f t="shared" ca="1" si="61"/>
        <v>0</v>
      </c>
      <c r="P121" s="899">
        <f t="shared" ca="1" si="62"/>
        <v>0</v>
      </c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</row>
    <row r="122" spans="1:26" ht="18.75" hidden="1">
      <c r="A122" s="1007"/>
      <c r="B122" s="889"/>
      <c r="C122" s="1008"/>
      <c r="D122" s="890" t="s">
        <v>20</v>
      </c>
      <c r="E122" s="889"/>
      <c r="F122" s="889"/>
      <c r="G122" s="891"/>
      <c r="H122" s="161" t="s">
        <v>12</v>
      </c>
      <c r="I122" s="1009"/>
      <c r="J122" s="1009"/>
      <c r="K122" s="1010"/>
      <c r="L122" s="893">
        <f t="shared" ref="L122:N122" ca="1" si="64">L123+L124</f>
        <v>0</v>
      </c>
      <c r="M122" s="893">
        <f t="shared" ca="1" si="64"/>
        <v>0</v>
      </c>
      <c r="N122" s="893">
        <f t="shared" ca="1" si="64"/>
        <v>0</v>
      </c>
      <c r="O122" s="893">
        <f t="shared" ca="1" si="61"/>
        <v>0</v>
      </c>
      <c r="P122" s="893">
        <f t="shared" ca="1" si="62"/>
        <v>0</v>
      </c>
      <c r="Q122" s="880"/>
      <c r="R122" s="880"/>
      <c r="S122" s="880"/>
      <c r="T122" s="880"/>
      <c r="U122" s="880"/>
      <c r="V122" s="880"/>
      <c r="W122" s="880"/>
      <c r="X122" s="880"/>
      <c r="Y122" s="880"/>
      <c r="Z122" s="880"/>
    </row>
    <row r="123" spans="1:26" ht="18.75" hidden="1">
      <c r="A123" s="1005"/>
      <c r="B123" s="895"/>
      <c r="C123" s="896"/>
      <c r="D123" s="895"/>
      <c r="E123" s="896" t="s">
        <v>36</v>
      </c>
      <c r="F123" s="895"/>
      <c r="G123" s="1006"/>
      <c r="H123" s="165" t="s">
        <v>12</v>
      </c>
      <c r="I123" s="1012"/>
      <c r="J123" s="1012"/>
      <c r="K123" s="1013"/>
      <c r="L123" s="899">
        <v>0</v>
      </c>
      <c r="M123" s="899">
        <v>0</v>
      </c>
      <c r="N123" s="899">
        <v>0</v>
      </c>
      <c r="O123" s="899">
        <f t="shared" si="61"/>
        <v>0</v>
      </c>
      <c r="P123" s="899">
        <f t="shared" si="62"/>
        <v>0</v>
      </c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</row>
    <row r="124" spans="1:26" ht="18.75" hidden="1">
      <c r="A124" s="1005"/>
      <c r="B124" s="895"/>
      <c r="C124" s="896"/>
      <c r="D124" s="895"/>
      <c r="E124" s="896" t="s">
        <v>37</v>
      </c>
      <c r="F124" s="895"/>
      <c r="G124" s="1006"/>
      <c r="H124" s="165" t="s">
        <v>12</v>
      </c>
      <c r="I124" s="1012"/>
      <c r="J124" s="1012"/>
      <c r="K124" s="1013"/>
      <c r="L124" s="899">
        <f ca="1">IFERROR(__xludf.DUMMYFUNCTION("IMPORTRANGE(""https://docs.google.com/spreadsheets/d/1MeEWN-I1oV_STSDYn1IFDPWt_1FKiwhDph83XaGc0o0/edit?usp=sharing"",""งบพรบ!BA51"")"),0)</f>
        <v>0</v>
      </c>
      <c r="M124" s="899">
        <f ca="1">IFERROR(__xludf.DUMMYFUNCTION("IMPORTRANGE(""https://docs.google.com/spreadsheets/d/1MeEWN-I1oV_STSDYn1IFDPWt_1FKiwhDph83XaGc0o0/edit?usp=sharing"",""งบพรบ!BF51"")"),0)</f>
        <v>0</v>
      </c>
      <c r="N124" s="899">
        <f ca="1">IFERROR(__xludf.DUMMYFUNCTION("IMPORTRANGE(""https://docs.google.com/spreadsheets/d/1MeEWN-I1oV_STSDYn1IFDPWt_1FKiwhDph83XaGc0o0/edit?usp=sharing"",""งบพรบ!BH51"")"),0)</f>
        <v>0</v>
      </c>
      <c r="O124" s="899">
        <f t="shared" ca="1" si="61"/>
        <v>0</v>
      </c>
      <c r="P124" s="899">
        <f t="shared" ca="1" si="62"/>
        <v>0</v>
      </c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</row>
    <row r="125" spans="1:26" ht="18.75" hidden="1">
      <c r="A125" s="1007"/>
      <c r="B125" s="889"/>
      <c r="C125" s="1008"/>
      <c r="D125" s="890" t="s">
        <v>21</v>
      </c>
      <c r="E125" s="889"/>
      <c r="F125" s="889"/>
      <c r="G125" s="891"/>
      <c r="H125" s="168" t="s">
        <v>12</v>
      </c>
      <c r="I125" s="1009"/>
      <c r="J125" s="1009"/>
      <c r="K125" s="1010"/>
      <c r="L125" s="893">
        <f t="shared" ref="L125:N125" ca="1" si="65">L126+L127</f>
        <v>0</v>
      </c>
      <c r="M125" s="893">
        <f t="shared" ca="1" si="65"/>
        <v>0</v>
      </c>
      <c r="N125" s="893">
        <f t="shared" ca="1" si="65"/>
        <v>0</v>
      </c>
      <c r="O125" s="893">
        <f t="shared" ca="1" si="61"/>
        <v>0</v>
      </c>
      <c r="P125" s="893">
        <f t="shared" ca="1" si="62"/>
        <v>0</v>
      </c>
      <c r="Q125" s="880"/>
      <c r="R125" s="880"/>
      <c r="S125" s="880"/>
      <c r="T125" s="880"/>
      <c r="U125" s="880"/>
      <c r="V125" s="880"/>
      <c r="W125" s="880"/>
      <c r="X125" s="880"/>
      <c r="Y125" s="880"/>
      <c r="Z125" s="880"/>
    </row>
    <row r="126" spans="1:26" ht="19.5" hidden="1">
      <c r="A126" s="1005"/>
      <c r="B126" s="895"/>
      <c r="C126" s="1011"/>
      <c r="D126" s="895"/>
      <c r="E126" s="896" t="s">
        <v>18</v>
      </c>
      <c r="F126" s="895"/>
      <c r="G126" s="1006"/>
      <c r="H126" s="165" t="s">
        <v>12</v>
      </c>
      <c r="I126" s="1012"/>
      <c r="J126" s="1012"/>
      <c r="K126" s="1013"/>
      <c r="L126" s="899">
        <v>0</v>
      </c>
      <c r="M126" s="899">
        <v>0</v>
      </c>
      <c r="N126" s="899">
        <v>0</v>
      </c>
      <c r="O126" s="899">
        <f t="shared" si="61"/>
        <v>0</v>
      </c>
      <c r="P126" s="899">
        <f t="shared" si="62"/>
        <v>0</v>
      </c>
      <c r="Q126" s="887"/>
      <c r="R126" s="887"/>
      <c r="S126" s="887"/>
      <c r="T126" s="887"/>
      <c r="U126" s="887"/>
      <c r="V126" s="887"/>
      <c r="W126" s="887"/>
      <c r="X126" s="887"/>
      <c r="Y126" s="887"/>
      <c r="Z126" s="887"/>
    </row>
    <row r="127" spans="1:26" ht="19.5" hidden="1">
      <c r="A127" s="1005"/>
      <c r="B127" s="895"/>
      <c r="C127" s="1011"/>
      <c r="D127" s="895"/>
      <c r="E127" s="896" t="s">
        <v>19</v>
      </c>
      <c r="F127" s="895"/>
      <c r="G127" s="1006"/>
      <c r="H127" s="169" t="s">
        <v>12</v>
      </c>
      <c r="I127" s="1012"/>
      <c r="J127" s="1012"/>
      <c r="K127" s="1013"/>
      <c r="L127" s="899">
        <f ca="1">IFERROR(__xludf.DUMMYFUNCTION("IMPORTRANGE(""https://docs.google.com/spreadsheets/d/1MeEWN-I1oV_STSDYn1IFDPWt_1FKiwhDph83XaGc0o0/edit?usp=sharing"",""งบพรบ!BD51"")"),0)</f>
        <v>0</v>
      </c>
      <c r="M127" s="899">
        <f ca="1">IFERROR(__xludf.DUMMYFUNCTION("IMPORTRANGE(""https://docs.google.com/spreadsheets/d/1MeEWN-I1oV_STSDYn1IFDPWt_1FKiwhDph83XaGc0o0/edit?usp=sharing"",""งบพรบ!BG51"")"),0)</f>
        <v>0</v>
      </c>
      <c r="N127" s="899">
        <f ca="1">IFERROR(__xludf.DUMMYFUNCTION("IMPORTRANGE(""https://docs.google.com/spreadsheets/d/1MeEWN-I1oV_STSDYn1IFDPWt_1FKiwhDph83XaGc0o0/edit?usp=sharing"",""งบพรบ!BI51"")"),0)</f>
        <v>0</v>
      </c>
      <c r="O127" s="899">
        <f t="shared" ca="1" si="61"/>
        <v>0</v>
      </c>
      <c r="P127" s="899">
        <f t="shared" ca="1" si="62"/>
        <v>0</v>
      </c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</row>
    <row r="128" spans="1:26" ht="19.5" hidden="1">
      <c r="A128" s="982" t="s">
        <v>67</v>
      </c>
      <c r="B128" s="983"/>
      <c r="C128" s="1034"/>
      <c r="D128" s="983"/>
      <c r="E128" s="983"/>
      <c r="F128" s="983"/>
      <c r="G128" s="983"/>
      <c r="H128" s="1035"/>
      <c r="I128" s="1036"/>
      <c r="J128" s="1036"/>
      <c r="K128" s="1037"/>
      <c r="L128" s="988"/>
      <c r="M128" s="988"/>
      <c r="N128" s="988"/>
      <c r="O128" s="988"/>
      <c r="P128" s="988"/>
    </row>
    <row r="129" spans="1:26" ht="19.5" hidden="1">
      <c r="A129" s="989"/>
      <c r="B129" s="990" t="s">
        <v>68</v>
      </c>
      <c r="C129" s="1038"/>
      <c r="D129" s="992"/>
      <c r="E129" s="991"/>
      <c r="F129" s="991"/>
      <c r="G129" s="991"/>
      <c r="H129" s="207"/>
      <c r="I129" s="1039"/>
      <c r="J129" s="1039"/>
      <c r="K129" s="996"/>
      <c r="L129" s="996"/>
      <c r="M129" s="996"/>
      <c r="N129" s="996"/>
      <c r="O129" s="996"/>
      <c r="P129" s="996"/>
    </row>
    <row r="130" spans="1:26" ht="19.5" hidden="1">
      <c r="A130" s="989"/>
      <c r="B130" s="990"/>
      <c r="C130" s="1040" t="s">
        <v>69</v>
      </c>
      <c r="D130" s="992"/>
      <c r="E130" s="991"/>
      <c r="F130" s="991"/>
      <c r="G130" s="993"/>
      <c r="H130" s="205" t="s">
        <v>66</v>
      </c>
      <c r="I130" s="994">
        <f t="shared" ref="I130:J130" ca="1" si="66">I146</f>
        <v>0</v>
      </c>
      <c r="J130" s="994">
        <f t="shared" si="66"/>
        <v>0</v>
      </c>
      <c r="K130" s="995">
        <f t="shared" ref="K130:K131" ca="1" si="67">IF(I130&gt;0,J130*100/I130,0)</f>
        <v>0</v>
      </c>
      <c r="L130" s="996"/>
      <c r="M130" s="996"/>
      <c r="N130" s="996"/>
      <c r="O130" s="996"/>
      <c r="P130" s="996"/>
    </row>
    <row r="131" spans="1:26" ht="19.5" hidden="1">
      <c r="A131" s="989"/>
      <c r="B131" s="990"/>
      <c r="C131" s="1040" t="s">
        <v>70</v>
      </c>
      <c r="D131" s="992"/>
      <c r="E131" s="991"/>
      <c r="F131" s="991"/>
      <c r="G131" s="993"/>
      <c r="H131" s="205" t="s">
        <v>35</v>
      </c>
      <c r="I131" s="994">
        <f t="shared" ref="I131:J131" ca="1" si="68">I143</f>
        <v>0</v>
      </c>
      <c r="J131" s="994">
        <f t="shared" ca="1" si="68"/>
        <v>0</v>
      </c>
      <c r="K131" s="995">
        <f t="shared" ca="1" si="67"/>
        <v>0</v>
      </c>
      <c r="L131" s="996"/>
      <c r="M131" s="996"/>
      <c r="N131" s="996"/>
      <c r="O131" s="996"/>
      <c r="P131" s="996"/>
    </row>
    <row r="132" spans="1:26" ht="19.5" hidden="1">
      <c r="A132" s="997"/>
      <c r="B132" s="998"/>
      <c r="C132" s="999" t="s">
        <v>16</v>
      </c>
      <c r="D132" s="1000" t="s">
        <v>17</v>
      </c>
      <c r="E132" s="998"/>
      <c r="F132" s="998"/>
      <c r="G132" s="1001"/>
      <c r="H132" s="152" t="s">
        <v>12</v>
      </c>
      <c r="I132" s="1002"/>
      <c r="J132" s="1002"/>
      <c r="K132" s="1003"/>
      <c r="L132" s="1004">
        <f t="shared" ref="L132:N132" ca="1" si="69">L133+L134</f>
        <v>0</v>
      </c>
      <c r="M132" s="1004">
        <f t="shared" ca="1" si="69"/>
        <v>0</v>
      </c>
      <c r="N132" s="1004">
        <f t="shared" ca="1" si="69"/>
        <v>0</v>
      </c>
      <c r="O132" s="1004">
        <f t="shared" ref="O132:O140" ca="1" si="70">IF(L132&gt;0,N132*100/L132,0)</f>
        <v>0</v>
      </c>
      <c r="P132" s="1004">
        <f t="shared" ref="P132:P140" ca="1" si="71">IF(M132&gt;0,N132*100/M132,0)</f>
        <v>0</v>
      </c>
      <c r="Q132" s="880"/>
      <c r="R132" s="880"/>
      <c r="S132" s="880"/>
      <c r="T132" s="880"/>
      <c r="U132" s="880"/>
      <c r="V132" s="880"/>
      <c r="W132" s="880"/>
      <c r="X132" s="880"/>
      <c r="Y132" s="880"/>
      <c r="Z132" s="880"/>
    </row>
    <row r="133" spans="1:26" ht="18.75" hidden="1">
      <c r="A133" s="1005"/>
      <c r="B133" s="895"/>
      <c r="C133" s="895"/>
      <c r="D133" s="895"/>
      <c r="E133" s="896" t="s">
        <v>18</v>
      </c>
      <c r="F133" s="895"/>
      <c r="G133" s="1006"/>
      <c r="H133" s="158" t="s">
        <v>12</v>
      </c>
      <c r="I133" s="898"/>
      <c r="J133" s="898"/>
      <c r="K133" s="899"/>
      <c r="L133" s="899">
        <f t="shared" ref="L133:N134" si="72">L136+L139</f>
        <v>0</v>
      </c>
      <c r="M133" s="899">
        <f t="shared" si="72"/>
        <v>0</v>
      </c>
      <c r="N133" s="899">
        <f t="shared" si="72"/>
        <v>0</v>
      </c>
      <c r="O133" s="899">
        <f t="shared" si="70"/>
        <v>0</v>
      </c>
      <c r="P133" s="899">
        <f t="shared" si="71"/>
        <v>0</v>
      </c>
      <c r="Q133" s="887"/>
      <c r="R133" s="887"/>
      <c r="S133" s="887"/>
      <c r="T133" s="887"/>
      <c r="U133" s="887"/>
      <c r="V133" s="887"/>
      <c r="W133" s="887"/>
      <c r="X133" s="887"/>
      <c r="Y133" s="887"/>
      <c r="Z133" s="887"/>
    </row>
    <row r="134" spans="1:26" ht="18.75" hidden="1">
      <c r="A134" s="1005"/>
      <c r="B134" s="895"/>
      <c r="C134" s="895"/>
      <c r="D134" s="895"/>
      <c r="E134" s="896" t="s">
        <v>19</v>
      </c>
      <c r="F134" s="895"/>
      <c r="G134" s="1006"/>
      <c r="H134" s="158" t="s">
        <v>12</v>
      </c>
      <c r="I134" s="898"/>
      <c r="J134" s="898"/>
      <c r="K134" s="899"/>
      <c r="L134" s="899">
        <f t="shared" ca="1" si="72"/>
        <v>0</v>
      </c>
      <c r="M134" s="899">
        <f t="shared" ca="1" si="72"/>
        <v>0</v>
      </c>
      <c r="N134" s="899">
        <f t="shared" ca="1" si="72"/>
        <v>0</v>
      </c>
      <c r="O134" s="899">
        <f t="shared" ca="1" si="70"/>
        <v>0</v>
      </c>
      <c r="P134" s="899">
        <f t="shared" ca="1" si="71"/>
        <v>0</v>
      </c>
      <c r="Q134" s="887"/>
      <c r="R134" s="887"/>
      <c r="S134" s="887"/>
      <c r="T134" s="887"/>
      <c r="U134" s="887"/>
      <c r="V134" s="887"/>
      <c r="W134" s="887"/>
      <c r="X134" s="887"/>
      <c r="Y134" s="887"/>
      <c r="Z134" s="887"/>
    </row>
    <row r="135" spans="1:26" ht="18.75" hidden="1">
      <c r="A135" s="1007"/>
      <c r="B135" s="889"/>
      <c r="C135" s="1008"/>
      <c r="D135" s="890" t="s">
        <v>20</v>
      </c>
      <c r="E135" s="889"/>
      <c r="F135" s="889"/>
      <c r="G135" s="891"/>
      <c r="H135" s="161" t="s">
        <v>12</v>
      </c>
      <c r="I135" s="1009"/>
      <c r="J135" s="1009"/>
      <c r="K135" s="1010"/>
      <c r="L135" s="893">
        <f t="shared" ref="L135:N135" ca="1" si="73">L136+L137</f>
        <v>0</v>
      </c>
      <c r="M135" s="893">
        <f t="shared" ca="1" si="73"/>
        <v>0</v>
      </c>
      <c r="N135" s="893">
        <f t="shared" ca="1" si="73"/>
        <v>0</v>
      </c>
      <c r="O135" s="893">
        <f t="shared" ca="1" si="70"/>
        <v>0</v>
      </c>
      <c r="P135" s="893">
        <f t="shared" ca="1" si="71"/>
        <v>0</v>
      </c>
      <c r="Q135" s="880"/>
      <c r="R135" s="880"/>
      <c r="S135" s="880"/>
      <c r="T135" s="880"/>
      <c r="U135" s="880"/>
      <c r="V135" s="880"/>
      <c r="W135" s="880"/>
      <c r="X135" s="880"/>
      <c r="Y135" s="880"/>
      <c r="Z135" s="880"/>
    </row>
    <row r="136" spans="1:26" ht="19.5" hidden="1">
      <c r="A136" s="1005"/>
      <c r="B136" s="895"/>
      <c r="C136" s="1011"/>
      <c r="D136" s="895"/>
      <c r="E136" s="896" t="s">
        <v>36</v>
      </c>
      <c r="F136" s="895"/>
      <c r="G136" s="1006"/>
      <c r="H136" s="165" t="s">
        <v>12</v>
      </c>
      <c r="I136" s="1012"/>
      <c r="J136" s="1012"/>
      <c r="K136" s="1013"/>
      <c r="L136" s="899">
        <v>0</v>
      </c>
      <c r="M136" s="899">
        <v>0</v>
      </c>
      <c r="N136" s="899">
        <v>0</v>
      </c>
      <c r="O136" s="899">
        <f t="shared" si="70"/>
        <v>0</v>
      </c>
      <c r="P136" s="899">
        <f t="shared" si="71"/>
        <v>0</v>
      </c>
      <c r="Q136" s="887"/>
      <c r="R136" s="887"/>
      <c r="S136" s="887"/>
      <c r="T136" s="887"/>
      <c r="U136" s="887"/>
      <c r="V136" s="887"/>
      <c r="W136" s="887"/>
      <c r="X136" s="887"/>
      <c r="Y136" s="887"/>
      <c r="Z136" s="887"/>
    </row>
    <row r="137" spans="1:26" ht="19.5" hidden="1">
      <c r="A137" s="1005"/>
      <c r="B137" s="895"/>
      <c r="C137" s="1011"/>
      <c r="D137" s="895"/>
      <c r="E137" s="896" t="s">
        <v>37</v>
      </c>
      <c r="F137" s="895"/>
      <c r="G137" s="1006"/>
      <c r="H137" s="165" t="s">
        <v>12</v>
      </c>
      <c r="I137" s="1012"/>
      <c r="J137" s="1012"/>
      <c r="K137" s="1013"/>
      <c r="L137" s="899">
        <f ca="1">IFERROR(__xludf.DUMMYFUNCTION("IMPORTRANGE(""https://docs.google.com/spreadsheets/d/1MeEWN-I1oV_STSDYn1IFDPWt_1FKiwhDph83XaGc0o0/edit?usp=sharing"",""งบพรบ!BK51"")"),0)</f>
        <v>0</v>
      </c>
      <c r="M137" s="899">
        <f ca="1">IFERROR(__xludf.DUMMYFUNCTION("IMPORTRANGE(""https://docs.google.com/spreadsheets/d/1MeEWN-I1oV_STSDYn1IFDPWt_1FKiwhDph83XaGc0o0/edit?usp=sharing"",""งบพรบ!BP51"")"),0)</f>
        <v>0</v>
      </c>
      <c r="N137" s="899">
        <f ca="1">IFERROR(__xludf.DUMMYFUNCTION("IMPORTRANGE(""https://docs.google.com/spreadsheets/d/1MeEWN-I1oV_STSDYn1IFDPWt_1FKiwhDph83XaGc0o0/edit?usp=sharing"",""งบพรบ!BR51"")"),0)</f>
        <v>0</v>
      </c>
      <c r="O137" s="899">
        <f t="shared" ca="1" si="70"/>
        <v>0</v>
      </c>
      <c r="P137" s="899">
        <f t="shared" ca="1" si="71"/>
        <v>0</v>
      </c>
      <c r="Q137" s="887"/>
      <c r="R137" s="887"/>
      <c r="S137" s="887"/>
      <c r="T137" s="887"/>
      <c r="U137" s="887"/>
      <c r="V137" s="887"/>
      <c r="W137" s="887"/>
      <c r="X137" s="887"/>
      <c r="Y137" s="887"/>
      <c r="Z137" s="887"/>
    </row>
    <row r="138" spans="1:26" ht="18.75" hidden="1">
      <c r="A138" s="1007"/>
      <c r="B138" s="889"/>
      <c r="C138" s="1008"/>
      <c r="D138" s="890" t="s">
        <v>21</v>
      </c>
      <c r="E138" s="889"/>
      <c r="F138" s="889"/>
      <c r="G138" s="891"/>
      <c r="H138" s="168" t="s">
        <v>12</v>
      </c>
      <c r="I138" s="1009"/>
      <c r="J138" s="1009"/>
      <c r="K138" s="1010"/>
      <c r="L138" s="893">
        <f t="shared" ref="L138:N138" ca="1" si="74">L139+L140</f>
        <v>0</v>
      </c>
      <c r="M138" s="893">
        <f t="shared" ca="1" si="74"/>
        <v>0</v>
      </c>
      <c r="N138" s="893">
        <f t="shared" ca="1" si="74"/>
        <v>0</v>
      </c>
      <c r="O138" s="893">
        <f t="shared" ca="1" si="70"/>
        <v>0</v>
      </c>
      <c r="P138" s="893">
        <f t="shared" ca="1" si="71"/>
        <v>0</v>
      </c>
      <c r="Q138" s="880"/>
      <c r="R138" s="880"/>
      <c r="S138" s="880"/>
      <c r="T138" s="880"/>
      <c r="U138" s="880"/>
      <c r="V138" s="880"/>
      <c r="W138" s="880"/>
      <c r="X138" s="880"/>
      <c r="Y138" s="880"/>
      <c r="Z138" s="880"/>
    </row>
    <row r="139" spans="1:26" ht="19.5" hidden="1">
      <c r="A139" s="1005"/>
      <c r="B139" s="895"/>
      <c r="C139" s="1011"/>
      <c r="D139" s="895"/>
      <c r="E139" s="896" t="s">
        <v>18</v>
      </c>
      <c r="F139" s="895"/>
      <c r="G139" s="1006"/>
      <c r="H139" s="165" t="s">
        <v>12</v>
      </c>
      <c r="I139" s="1012"/>
      <c r="J139" s="1012"/>
      <c r="K139" s="1013"/>
      <c r="L139" s="899">
        <v>0</v>
      </c>
      <c r="M139" s="899">
        <v>0</v>
      </c>
      <c r="N139" s="899">
        <v>0</v>
      </c>
      <c r="O139" s="899">
        <f t="shared" si="70"/>
        <v>0</v>
      </c>
      <c r="P139" s="899">
        <f t="shared" si="71"/>
        <v>0</v>
      </c>
      <c r="Q139" s="887"/>
      <c r="R139" s="887"/>
      <c r="S139" s="887"/>
      <c r="T139" s="887"/>
      <c r="U139" s="887"/>
      <c r="V139" s="887"/>
      <c r="W139" s="887"/>
      <c r="X139" s="887"/>
      <c r="Y139" s="887"/>
      <c r="Z139" s="887"/>
    </row>
    <row r="140" spans="1:26" ht="19.5" hidden="1">
      <c r="A140" s="1005"/>
      <c r="B140" s="895"/>
      <c r="C140" s="1011"/>
      <c r="D140" s="895"/>
      <c r="E140" s="896" t="s">
        <v>19</v>
      </c>
      <c r="F140" s="895"/>
      <c r="G140" s="1006"/>
      <c r="H140" s="169" t="s">
        <v>12</v>
      </c>
      <c r="I140" s="1012"/>
      <c r="J140" s="1012"/>
      <c r="K140" s="1013"/>
      <c r="L140" s="899">
        <f ca="1">IFERROR(__xludf.DUMMYFUNCTION("IMPORTRANGE(""https://docs.google.com/spreadsheets/d/1MeEWN-I1oV_STSDYn1IFDPWt_1FKiwhDph83XaGc0o0/edit?usp=sharing"",""งบพรบ!BN51"")"),0)</f>
        <v>0</v>
      </c>
      <c r="M140" s="899">
        <f ca="1">IFERROR(__xludf.DUMMYFUNCTION("IMPORTRANGE(""https://docs.google.com/spreadsheets/d/1MeEWN-I1oV_STSDYn1IFDPWt_1FKiwhDph83XaGc0o0/edit?usp=sharing"",""งบพรบ!BQ51"")"),0)</f>
        <v>0</v>
      </c>
      <c r="N140" s="899">
        <f ca="1">IFERROR(__xludf.DUMMYFUNCTION("IMPORTRANGE(""https://docs.google.com/spreadsheets/d/1MeEWN-I1oV_STSDYn1IFDPWt_1FKiwhDph83XaGc0o0/edit?usp=sharing"",""งบพรบ!BS51"")"),0)</f>
        <v>0</v>
      </c>
      <c r="O140" s="899">
        <f t="shared" ca="1" si="70"/>
        <v>0</v>
      </c>
      <c r="P140" s="899">
        <f t="shared" ca="1" si="71"/>
        <v>0</v>
      </c>
      <c r="Q140" s="887"/>
      <c r="R140" s="887"/>
      <c r="S140" s="887"/>
      <c r="T140" s="887"/>
      <c r="U140" s="887"/>
      <c r="V140" s="887"/>
      <c r="W140" s="887"/>
      <c r="X140" s="887"/>
      <c r="Y140" s="887"/>
      <c r="Z140" s="887"/>
    </row>
    <row r="141" spans="1:26" ht="19.5" hidden="1">
      <c r="A141" s="1014"/>
      <c r="B141" s="1015"/>
      <c r="C141" s="999" t="s">
        <v>16</v>
      </c>
      <c r="D141" s="1016" t="s">
        <v>38</v>
      </c>
      <c r="E141" s="1017"/>
      <c r="F141" s="1017"/>
      <c r="G141" s="1018"/>
      <c r="H141" s="168"/>
      <c r="I141" s="892"/>
      <c r="J141" s="892"/>
      <c r="K141" s="893"/>
      <c r="L141" s="893"/>
      <c r="M141" s="893"/>
      <c r="N141" s="893"/>
      <c r="O141" s="893"/>
      <c r="P141" s="893"/>
    </row>
    <row r="142" spans="1:26" ht="19.5" hidden="1">
      <c r="A142" s="1007"/>
      <c r="B142" s="889"/>
      <c r="C142" s="1041"/>
      <c r="D142" s="1008" t="s">
        <v>71</v>
      </c>
      <c r="E142" s="890"/>
      <c r="F142" s="889"/>
      <c r="G142" s="1042"/>
      <c r="H142" s="168"/>
      <c r="I142" s="892"/>
      <c r="J142" s="1024">
        <v>0</v>
      </c>
      <c r="K142" s="893"/>
      <c r="L142" s="893"/>
      <c r="M142" s="893"/>
      <c r="N142" s="893"/>
      <c r="O142" s="893"/>
      <c r="P142" s="893"/>
    </row>
    <row r="143" spans="1:26" ht="19.5" hidden="1">
      <c r="A143" s="1007"/>
      <c r="B143" s="889"/>
      <c r="C143" s="1041"/>
      <c r="D143" s="1008" t="s">
        <v>72</v>
      </c>
      <c r="E143" s="890"/>
      <c r="F143" s="889"/>
      <c r="G143" s="1042"/>
      <c r="H143" s="168" t="s">
        <v>35</v>
      </c>
      <c r="I143" s="892">
        <f ca="1">I145</f>
        <v>0</v>
      </c>
      <c r="J143" s="892">
        <f ca="1">IF(AND(J144&gt;=I144,J145&gt;=I145),J145,0)</f>
        <v>0</v>
      </c>
      <c r="K143" s="893">
        <f t="shared" ref="K143:K146" ca="1" si="75">IF(I143&gt;0,J143*100/I143,0)</f>
        <v>0</v>
      </c>
      <c r="L143" s="893"/>
      <c r="M143" s="893"/>
      <c r="N143" s="893"/>
      <c r="O143" s="893"/>
      <c r="P143" s="893"/>
    </row>
    <row r="144" spans="1:26" ht="19.5" hidden="1">
      <c r="A144" s="1007"/>
      <c r="B144" s="889"/>
      <c r="C144" s="1041"/>
      <c r="D144" s="1022"/>
      <c r="E144" s="1008" t="s">
        <v>73</v>
      </c>
      <c r="F144" s="889"/>
      <c r="G144" s="1042"/>
      <c r="H144" s="168" t="s">
        <v>35</v>
      </c>
      <c r="I144" s="892">
        <f ca="1">IFERROR(__xludf.DUMMYFUNCTION("IMPORTRANGE(""https://docs.google.com/spreadsheets/d/1QqKyyYR6Q21VydFLVH3TRQUabQu_ym0Zz7PgGX0-kHA/edit?usp=sharing"",""แผน!U51"")"),0)</f>
        <v>0</v>
      </c>
      <c r="J144" s="1024">
        <v>0</v>
      </c>
      <c r="K144" s="893">
        <f t="shared" ca="1" si="75"/>
        <v>0</v>
      </c>
      <c r="L144" s="893"/>
      <c r="M144" s="893"/>
      <c r="N144" s="893"/>
      <c r="O144" s="893"/>
      <c r="P144" s="893"/>
    </row>
    <row r="145" spans="1:26" ht="19.5" hidden="1">
      <c r="A145" s="1007"/>
      <c r="B145" s="889"/>
      <c r="C145" s="1041"/>
      <c r="D145" s="1022"/>
      <c r="E145" s="1008" t="s">
        <v>74</v>
      </c>
      <c r="F145" s="889"/>
      <c r="G145" s="1042"/>
      <c r="H145" s="168" t="s">
        <v>35</v>
      </c>
      <c r="I145" s="892">
        <f ca="1">IFERROR(__xludf.DUMMYFUNCTION("IMPORTRANGE(""https://docs.google.com/spreadsheets/d/1QqKyyYR6Q21VydFLVH3TRQUabQu_ym0Zz7PgGX0-kHA/edit?usp=sharing"",""แผน!V51"")"),0)</f>
        <v>0</v>
      </c>
      <c r="J145" s="1024">
        <v>0</v>
      </c>
      <c r="K145" s="893">
        <f t="shared" ca="1" si="75"/>
        <v>0</v>
      </c>
      <c r="L145" s="893"/>
      <c r="M145" s="893"/>
      <c r="N145" s="893"/>
      <c r="O145" s="893"/>
      <c r="P145" s="893"/>
    </row>
    <row r="146" spans="1:26" ht="19.5" hidden="1">
      <c r="A146" s="1007"/>
      <c r="B146" s="889"/>
      <c r="C146" s="1041"/>
      <c r="D146" s="1008" t="s">
        <v>75</v>
      </c>
      <c r="E146" s="890"/>
      <c r="F146" s="889"/>
      <c r="G146" s="1042"/>
      <c r="H146" s="168" t="s">
        <v>66</v>
      </c>
      <c r="I146" s="892">
        <f ca="1">IFERROR(__xludf.DUMMYFUNCTION("IMPORTRANGE(""https://docs.google.com/spreadsheets/d/1QqKyyYR6Q21VydFLVH3TRQUabQu_ym0Zz7PgGX0-kHA/edit?usp=sharing"",""แผน!W51"")"),0)</f>
        <v>0</v>
      </c>
      <c r="J146" s="1024">
        <v>0</v>
      </c>
      <c r="K146" s="893">
        <f t="shared" ca="1" si="75"/>
        <v>0</v>
      </c>
      <c r="L146" s="893"/>
      <c r="M146" s="893"/>
      <c r="N146" s="893"/>
      <c r="O146" s="893"/>
      <c r="P146" s="893"/>
    </row>
    <row r="147" spans="1:26" ht="19.5" hidden="1">
      <c r="A147" s="982" t="s">
        <v>76</v>
      </c>
      <c r="B147" s="983"/>
      <c r="C147" s="1034"/>
      <c r="D147" s="983"/>
      <c r="E147" s="983"/>
      <c r="F147" s="983"/>
      <c r="G147" s="983"/>
      <c r="H147" s="1035"/>
      <c r="I147" s="1036"/>
      <c r="J147" s="1036"/>
      <c r="K147" s="1037"/>
      <c r="L147" s="988"/>
      <c r="M147" s="988"/>
      <c r="N147" s="988"/>
      <c r="O147" s="988"/>
      <c r="P147" s="988"/>
    </row>
    <row r="148" spans="1:26" ht="19.5" hidden="1">
      <c r="A148" s="1043"/>
      <c r="B148" s="990" t="s">
        <v>77</v>
      </c>
      <c r="C148" s="990"/>
      <c r="D148" s="990"/>
      <c r="E148" s="1044"/>
      <c r="F148" s="1045"/>
      <c r="G148" s="1046"/>
      <c r="H148" s="221" t="s">
        <v>35</v>
      </c>
      <c r="I148" s="994">
        <f t="shared" ref="I148:J148" ca="1" si="76">I159</f>
        <v>0</v>
      </c>
      <c r="J148" s="994">
        <f t="shared" si="76"/>
        <v>0</v>
      </c>
      <c r="K148" s="995">
        <f ca="1">IF(I148&gt;0,J148*100/I148,0)</f>
        <v>0</v>
      </c>
      <c r="L148" s="995"/>
      <c r="M148" s="995"/>
      <c r="N148" s="995"/>
      <c r="O148" s="995"/>
      <c r="P148" s="99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7"/>
      <c r="B149" s="998"/>
      <c r="C149" s="999" t="s">
        <v>16</v>
      </c>
      <c r="D149" s="1000" t="s">
        <v>17</v>
      </c>
      <c r="E149" s="998"/>
      <c r="F149" s="998"/>
      <c r="G149" s="1001"/>
      <c r="H149" s="152" t="s">
        <v>12</v>
      </c>
      <c r="I149" s="1002"/>
      <c r="J149" s="1002"/>
      <c r="K149" s="1003"/>
      <c r="L149" s="1004">
        <f t="shared" ref="L149:N149" ca="1" si="77">L150+L151</f>
        <v>0</v>
      </c>
      <c r="M149" s="1004">
        <f t="shared" ca="1" si="77"/>
        <v>0</v>
      </c>
      <c r="N149" s="1004">
        <f t="shared" ca="1" si="77"/>
        <v>0</v>
      </c>
      <c r="O149" s="1004">
        <f t="shared" ref="O149:O157" ca="1" si="78">IF(L149&gt;0,N149*100/L149,0)</f>
        <v>0</v>
      </c>
      <c r="P149" s="1004">
        <f t="shared" ref="P149:P157" ca="1" si="79">IF(M149&gt;0,N149*100/M149,0)</f>
        <v>0</v>
      </c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</row>
    <row r="150" spans="1:26" ht="18.75" hidden="1">
      <c r="A150" s="1005"/>
      <c r="B150" s="895"/>
      <c r="C150" s="895"/>
      <c r="D150" s="895"/>
      <c r="E150" s="896" t="s">
        <v>18</v>
      </c>
      <c r="F150" s="895"/>
      <c r="G150" s="1006"/>
      <c r="H150" s="158" t="s">
        <v>12</v>
      </c>
      <c r="I150" s="898"/>
      <c r="J150" s="898"/>
      <c r="K150" s="899"/>
      <c r="L150" s="899">
        <f t="shared" ref="L150:N151" si="80">L153+L156</f>
        <v>0</v>
      </c>
      <c r="M150" s="899">
        <f t="shared" si="80"/>
        <v>0</v>
      </c>
      <c r="N150" s="899">
        <f t="shared" si="80"/>
        <v>0</v>
      </c>
      <c r="O150" s="899">
        <f t="shared" si="78"/>
        <v>0</v>
      </c>
      <c r="P150" s="899">
        <f t="shared" si="79"/>
        <v>0</v>
      </c>
      <c r="Q150" s="887"/>
      <c r="R150" s="887"/>
      <c r="S150" s="887"/>
      <c r="T150" s="887"/>
      <c r="U150" s="887"/>
      <c r="V150" s="887"/>
      <c r="W150" s="887"/>
      <c r="X150" s="887"/>
      <c r="Y150" s="887"/>
      <c r="Z150" s="887"/>
    </row>
    <row r="151" spans="1:26" ht="18.75" hidden="1">
      <c r="A151" s="1005"/>
      <c r="B151" s="895"/>
      <c r="C151" s="895"/>
      <c r="D151" s="895"/>
      <c r="E151" s="896" t="s">
        <v>19</v>
      </c>
      <c r="F151" s="895"/>
      <c r="G151" s="1006"/>
      <c r="H151" s="158" t="s">
        <v>12</v>
      </c>
      <c r="I151" s="898"/>
      <c r="J151" s="898"/>
      <c r="K151" s="899"/>
      <c r="L151" s="899">
        <f t="shared" ca="1" si="80"/>
        <v>0</v>
      </c>
      <c r="M151" s="899">
        <f t="shared" ca="1" si="80"/>
        <v>0</v>
      </c>
      <c r="N151" s="899">
        <f t="shared" ca="1" si="80"/>
        <v>0</v>
      </c>
      <c r="O151" s="899">
        <f t="shared" ca="1" si="78"/>
        <v>0</v>
      </c>
      <c r="P151" s="899">
        <f t="shared" ca="1" si="79"/>
        <v>0</v>
      </c>
      <c r="Q151" s="887"/>
      <c r="R151" s="887"/>
      <c r="S151" s="887"/>
      <c r="T151" s="887"/>
      <c r="U151" s="887"/>
      <c r="V151" s="887"/>
      <c r="W151" s="887"/>
      <c r="X151" s="887"/>
      <c r="Y151" s="887"/>
      <c r="Z151" s="887"/>
    </row>
    <row r="152" spans="1:26" ht="18.75" hidden="1">
      <c r="A152" s="1007"/>
      <c r="B152" s="889"/>
      <c r="C152" s="1008"/>
      <c r="D152" s="890" t="s">
        <v>20</v>
      </c>
      <c r="E152" s="889"/>
      <c r="F152" s="889"/>
      <c r="G152" s="891"/>
      <c r="H152" s="161" t="s">
        <v>12</v>
      </c>
      <c r="I152" s="1009"/>
      <c r="J152" s="1009"/>
      <c r="K152" s="1010"/>
      <c r="L152" s="893">
        <f t="shared" ref="L152:N152" ca="1" si="81">L153+L154</f>
        <v>0</v>
      </c>
      <c r="M152" s="893">
        <f t="shared" ca="1" si="81"/>
        <v>0</v>
      </c>
      <c r="N152" s="893">
        <f t="shared" ca="1" si="81"/>
        <v>0</v>
      </c>
      <c r="O152" s="893">
        <f t="shared" ca="1" si="78"/>
        <v>0</v>
      </c>
      <c r="P152" s="893">
        <f t="shared" ca="1" si="79"/>
        <v>0</v>
      </c>
      <c r="Q152" s="880"/>
      <c r="R152" s="880"/>
      <c r="S152" s="880"/>
      <c r="T152" s="880"/>
      <c r="U152" s="880"/>
      <c r="V152" s="880"/>
      <c r="W152" s="880"/>
      <c r="X152" s="880"/>
      <c r="Y152" s="880"/>
      <c r="Z152" s="880"/>
    </row>
    <row r="153" spans="1:26" ht="19.5" hidden="1">
      <c r="A153" s="1005"/>
      <c r="B153" s="895"/>
      <c r="C153" s="1011"/>
      <c r="D153" s="895"/>
      <c r="E153" s="896" t="s">
        <v>36</v>
      </c>
      <c r="F153" s="895"/>
      <c r="G153" s="1006"/>
      <c r="H153" s="165" t="s">
        <v>12</v>
      </c>
      <c r="I153" s="1012"/>
      <c r="J153" s="1012"/>
      <c r="K153" s="1013"/>
      <c r="L153" s="899">
        <v>0</v>
      </c>
      <c r="M153" s="899">
        <v>0</v>
      </c>
      <c r="N153" s="899">
        <v>0</v>
      </c>
      <c r="O153" s="899">
        <f t="shared" si="78"/>
        <v>0</v>
      </c>
      <c r="P153" s="899">
        <f t="shared" si="79"/>
        <v>0</v>
      </c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</row>
    <row r="154" spans="1:26" ht="19.5" hidden="1">
      <c r="A154" s="1005"/>
      <c r="B154" s="895"/>
      <c r="C154" s="1011"/>
      <c r="D154" s="895"/>
      <c r="E154" s="896" t="s">
        <v>37</v>
      </c>
      <c r="F154" s="895"/>
      <c r="G154" s="1006"/>
      <c r="H154" s="165" t="s">
        <v>12</v>
      </c>
      <c r="I154" s="1012"/>
      <c r="J154" s="1012"/>
      <c r="K154" s="1013"/>
      <c r="L154" s="899">
        <f ca="1">IFERROR(__xludf.DUMMYFUNCTION("IMPORTRANGE(""https://docs.google.com/spreadsheets/d/1MeEWN-I1oV_STSDYn1IFDPWt_1FKiwhDph83XaGc0o0/edit?usp=sharing"",""งบพรบ!BU51"")"),0)</f>
        <v>0</v>
      </c>
      <c r="M154" s="899">
        <f ca="1">IFERROR(__xludf.DUMMYFUNCTION("IMPORTRANGE(""https://docs.google.com/spreadsheets/d/1MeEWN-I1oV_STSDYn1IFDPWt_1FKiwhDph83XaGc0o0/edit?usp=sharing"",""งบพรบ!BZ51"")"),0)</f>
        <v>0</v>
      </c>
      <c r="N154" s="899">
        <f ca="1">IFERROR(__xludf.DUMMYFUNCTION("IMPORTRANGE(""https://docs.google.com/spreadsheets/d/1MeEWN-I1oV_STSDYn1IFDPWt_1FKiwhDph83XaGc0o0/edit?usp=sharing"",""งบพรบ!CB51"")"),0)</f>
        <v>0</v>
      </c>
      <c r="O154" s="899">
        <f t="shared" ca="1" si="78"/>
        <v>0</v>
      </c>
      <c r="P154" s="899">
        <f t="shared" ca="1" si="79"/>
        <v>0</v>
      </c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</row>
    <row r="155" spans="1:26" ht="18.75" hidden="1">
      <c r="A155" s="1007"/>
      <c r="B155" s="889"/>
      <c r="C155" s="1008"/>
      <c r="D155" s="890" t="s">
        <v>21</v>
      </c>
      <c r="E155" s="889"/>
      <c r="F155" s="889"/>
      <c r="G155" s="891"/>
      <c r="H155" s="168" t="s">
        <v>12</v>
      </c>
      <c r="I155" s="1009"/>
      <c r="J155" s="1009"/>
      <c r="K155" s="1010"/>
      <c r="L155" s="893">
        <f t="shared" ref="L155:N155" ca="1" si="82">L156+L157</f>
        <v>0</v>
      </c>
      <c r="M155" s="893">
        <f t="shared" ca="1" si="82"/>
        <v>0</v>
      </c>
      <c r="N155" s="893">
        <f t="shared" ca="1" si="82"/>
        <v>0</v>
      </c>
      <c r="O155" s="893">
        <f t="shared" ca="1" si="78"/>
        <v>0</v>
      </c>
      <c r="P155" s="893">
        <f t="shared" ca="1" si="79"/>
        <v>0</v>
      </c>
      <c r="Q155" s="880"/>
      <c r="R155" s="880"/>
      <c r="S155" s="880"/>
      <c r="T155" s="880"/>
      <c r="U155" s="880"/>
      <c r="V155" s="880"/>
      <c r="W155" s="880"/>
      <c r="X155" s="880"/>
      <c r="Y155" s="880"/>
      <c r="Z155" s="880"/>
    </row>
    <row r="156" spans="1:26" ht="19.5" hidden="1">
      <c r="A156" s="1005"/>
      <c r="B156" s="895"/>
      <c r="C156" s="1011"/>
      <c r="D156" s="895"/>
      <c r="E156" s="896" t="s">
        <v>18</v>
      </c>
      <c r="F156" s="895"/>
      <c r="G156" s="1006"/>
      <c r="H156" s="165" t="s">
        <v>12</v>
      </c>
      <c r="I156" s="1012"/>
      <c r="J156" s="1012"/>
      <c r="K156" s="1013"/>
      <c r="L156" s="899">
        <v>0</v>
      </c>
      <c r="M156" s="899">
        <v>0</v>
      </c>
      <c r="N156" s="899">
        <v>0</v>
      </c>
      <c r="O156" s="899">
        <f t="shared" si="78"/>
        <v>0</v>
      </c>
      <c r="P156" s="899">
        <f t="shared" si="79"/>
        <v>0</v>
      </c>
      <c r="Q156" s="887"/>
      <c r="R156" s="887"/>
      <c r="S156" s="887"/>
      <c r="T156" s="887"/>
      <c r="U156" s="887"/>
      <c r="V156" s="887"/>
      <c r="W156" s="887"/>
      <c r="X156" s="887"/>
      <c r="Y156" s="887"/>
      <c r="Z156" s="887"/>
    </row>
    <row r="157" spans="1:26" ht="19.5" hidden="1">
      <c r="A157" s="1005"/>
      <c r="B157" s="895"/>
      <c r="C157" s="1011"/>
      <c r="D157" s="895"/>
      <c r="E157" s="896" t="s">
        <v>19</v>
      </c>
      <c r="F157" s="895"/>
      <c r="G157" s="1006"/>
      <c r="H157" s="169" t="s">
        <v>12</v>
      </c>
      <c r="I157" s="1012"/>
      <c r="J157" s="1012"/>
      <c r="K157" s="1013"/>
      <c r="L157" s="899">
        <f ca="1">IFERROR(__xludf.DUMMYFUNCTION("IMPORTRANGE(""https://docs.google.com/spreadsheets/d/1MeEWN-I1oV_STSDYn1IFDPWt_1FKiwhDph83XaGc0o0/edit?usp=sharing"",""งบพรบ!BX51"")"),0)</f>
        <v>0</v>
      </c>
      <c r="M157" s="899">
        <f ca="1">IFERROR(__xludf.DUMMYFUNCTION("IMPORTRANGE(""https://docs.google.com/spreadsheets/d/1MeEWN-I1oV_STSDYn1IFDPWt_1FKiwhDph83XaGc0o0/edit?usp=sharing"",""งบพรบ!CA51"")"),0)</f>
        <v>0</v>
      </c>
      <c r="N157" s="899">
        <f ca="1">IFERROR(__xludf.DUMMYFUNCTION("IMPORTRANGE(""https://docs.google.com/spreadsheets/d/1MeEWN-I1oV_STSDYn1IFDPWt_1FKiwhDph83XaGc0o0/edit?usp=sharing"",""งบพรบ!CC51"")"),0)</f>
        <v>0</v>
      </c>
      <c r="O157" s="899">
        <f t="shared" ca="1" si="78"/>
        <v>0</v>
      </c>
      <c r="P157" s="899">
        <f t="shared" ca="1" si="79"/>
        <v>0</v>
      </c>
      <c r="Q157" s="887"/>
      <c r="R157" s="887"/>
      <c r="S157" s="887"/>
      <c r="T157" s="887"/>
      <c r="U157" s="887"/>
      <c r="V157" s="887"/>
      <c r="W157" s="887"/>
      <c r="X157" s="887"/>
      <c r="Y157" s="887"/>
      <c r="Z157" s="887"/>
    </row>
    <row r="158" spans="1:26" ht="19.5" hidden="1">
      <c r="A158" s="1014"/>
      <c r="B158" s="1015"/>
      <c r="C158" s="1011" t="s">
        <v>16</v>
      </c>
      <c r="D158" s="1016" t="s">
        <v>38</v>
      </c>
      <c r="E158" s="1017"/>
      <c r="F158" s="1017"/>
      <c r="G158" s="1018"/>
      <c r="H158" s="168"/>
      <c r="I158" s="892"/>
      <c r="J158" s="892"/>
      <c r="K158" s="893"/>
      <c r="L158" s="893"/>
      <c r="M158" s="893"/>
      <c r="N158" s="893"/>
      <c r="O158" s="893"/>
      <c r="P158" s="893"/>
    </row>
    <row r="159" spans="1:26" ht="19.5" hidden="1">
      <c r="A159" s="1007"/>
      <c r="B159" s="889"/>
      <c r="C159" s="1041"/>
      <c r="D159" s="1008" t="s">
        <v>78</v>
      </c>
      <c r="E159" s="890"/>
      <c r="F159" s="889"/>
      <c r="G159" s="1042"/>
      <c r="H159" s="168" t="s">
        <v>35</v>
      </c>
      <c r="I159" s="892">
        <f ca="1">IFERROR(__xludf.DUMMYFUNCTION("IMPORTRANGE(""https://docs.google.com/spreadsheets/d/1QqKyyYR6Q21VydFLVH3TRQUabQu_ym0Zz7PgGX0-kHA/edit?usp=sharing"",""แผน!X51"")"),0)</f>
        <v>0</v>
      </c>
      <c r="J159" s="1024">
        <v>0</v>
      </c>
      <c r="K159" s="893">
        <f ca="1">IF(I159&gt;0,J159*100/I159,0)</f>
        <v>0</v>
      </c>
      <c r="L159" s="893"/>
      <c r="M159" s="893"/>
      <c r="N159" s="893"/>
      <c r="O159" s="893"/>
      <c r="P159" s="893"/>
    </row>
    <row r="160" spans="1:26" ht="19.5" hidden="1">
      <c r="A160" s="1005"/>
      <c r="B160" s="895"/>
      <c r="C160" s="1011"/>
      <c r="D160" s="896" t="s">
        <v>79</v>
      </c>
      <c r="E160" s="1047"/>
      <c r="F160" s="895"/>
      <c r="G160" s="1006"/>
      <c r="H160" s="169" t="s">
        <v>35</v>
      </c>
      <c r="I160" s="898"/>
      <c r="J160" s="898"/>
      <c r="K160" s="899"/>
      <c r="L160" s="899"/>
      <c r="M160" s="899"/>
      <c r="N160" s="899"/>
      <c r="O160" s="899"/>
      <c r="P160" s="899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8"/>
      <c r="B161" s="1049"/>
      <c r="C161" s="1050"/>
      <c r="D161" s="1051" t="s">
        <v>80</v>
      </c>
      <c r="E161" s="1052"/>
      <c r="F161" s="1049"/>
      <c r="G161" s="1053"/>
      <c r="H161" s="232" t="s">
        <v>35</v>
      </c>
      <c r="I161" s="1054"/>
      <c r="J161" s="1054"/>
      <c r="K161" s="1055"/>
      <c r="L161" s="1055"/>
      <c r="M161" s="1055"/>
      <c r="N161" s="1055"/>
      <c r="O161" s="1055"/>
      <c r="P161" s="105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6" t="s">
        <v>81</v>
      </c>
      <c r="B162" s="1057"/>
      <c r="C162" s="1057"/>
      <c r="D162" s="1057"/>
      <c r="E162" s="1058"/>
      <c r="F162" s="1058"/>
      <c r="G162" s="1059"/>
      <c r="H162" s="1060"/>
      <c r="I162" s="1061"/>
      <c r="J162" s="1061"/>
      <c r="K162" s="1062"/>
      <c r="L162" s="1062"/>
      <c r="M162" s="1062"/>
      <c r="N162" s="1062"/>
      <c r="O162" s="1062"/>
      <c r="P162" s="1062"/>
    </row>
    <row r="163" spans="1:26" ht="19.5">
      <c r="A163" s="1063" t="s">
        <v>82</v>
      </c>
      <c r="B163" s="1064"/>
      <c r="C163" s="1064"/>
      <c r="D163" s="1065"/>
      <c r="E163" s="1065"/>
      <c r="F163" s="1065"/>
      <c r="G163" s="1066"/>
      <c r="H163" s="1067"/>
      <c r="I163" s="1068"/>
      <c r="J163" s="1068"/>
      <c r="K163" s="1069"/>
      <c r="L163" s="1069"/>
      <c r="M163" s="1069"/>
      <c r="N163" s="1069"/>
      <c r="O163" s="1069"/>
      <c r="P163" s="1069"/>
    </row>
    <row r="164" spans="1:26" ht="19.5">
      <c r="A164" s="1070"/>
      <c r="B164" s="1071" t="s">
        <v>83</v>
      </c>
      <c r="C164" s="1072"/>
      <c r="D164" s="1017"/>
      <c r="E164" s="1017"/>
      <c r="F164" s="1017"/>
      <c r="G164" s="1018"/>
      <c r="H164" s="252" t="s">
        <v>35</v>
      </c>
      <c r="I164" s="1073">
        <f t="shared" ref="I164:J164" ca="1" si="83">I174+I177</f>
        <v>12</v>
      </c>
      <c r="J164" s="1073">
        <f t="shared" si="83"/>
        <v>12</v>
      </c>
      <c r="K164" s="1074">
        <f ca="1">IF(I164&gt;0,J164*100/I164,0)</f>
        <v>100</v>
      </c>
      <c r="L164" s="1075"/>
      <c r="M164" s="1075"/>
      <c r="N164" s="1075"/>
      <c r="O164" s="1075"/>
      <c r="P164" s="1075"/>
    </row>
    <row r="165" spans="1:26" ht="19.5">
      <c r="A165" s="997"/>
      <c r="B165" s="998"/>
      <c r="C165" s="999" t="s">
        <v>16</v>
      </c>
      <c r="D165" s="1000" t="s">
        <v>17</v>
      </c>
      <c r="E165" s="998"/>
      <c r="F165" s="998"/>
      <c r="G165" s="1001"/>
      <c r="H165" s="152" t="s">
        <v>12</v>
      </c>
      <c r="I165" s="1002"/>
      <c r="J165" s="1002"/>
      <c r="K165" s="1003"/>
      <c r="L165" s="1004">
        <f t="shared" ref="L165:N165" ca="1" si="84">L166+L167</f>
        <v>23060</v>
      </c>
      <c r="M165" s="1004">
        <f t="shared" ca="1" si="84"/>
        <v>23060</v>
      </c>
      <c r="N165" s="1004">
        <f t="shared" ca="1" si="84"/>
        <v>23060</v>
      </c>
      <c r="O165" s="1004">
        <f t="shared" ref="O165:O173" ca="1" si="85">IF(L165&gt;0,N165*100/L165,0)</f>
        <v>100</v>
      </c>
      <c r="P165" s="1004">
        <f t="shared" ref="P165:P173" ca="1" si="86">IF(M165&gt;0,N165*100/M165,0)</f>
        <v>100</v>
      </c>
      <c r="Q165" s="880"/>
      <c r="R165" s="880"/>
      <c r="S165" s="880"/>
      <c r="T165" s="880"/>
      <c r="U165" s="880"/>
      <c r="V165" s="880"/>
      <c r="W165" s="880"/>
      <c r="X165" s="880"/>
      <c r="Y165" s="880"/>
      <c r="Z165" s="880"/>
    </row>
    <row r="166" spans="1:26" ht="18.75" hidden="1">
      <c r="A166" s="1005"/>
      <c r="B166" s="895"/>
      <c r="C166" s="895"/>
      <c r="D166" s="895"/>
      <c r="E166" s="896" t="s">
        <v>18</v>
      </c>
      <c r="F166" s="895"/>
      <c r="G166" s="1006"/>
      <c r="H166" s="158" t="s">
        <v>12</v>
      </c>
      <c r="I166" s="898"/>
      <c r="J166" s="898"/>
      <c r="K166" s="899"/>
      <c r="L166" s="899">
        <f t="shared" ref="L166:N167" si="87">L169+L172</f>
        <v>0</v>
      </c>
      <c r="M166" s="899">
        <f t="shared" si="87"/>
        <v>0</v>
      </c>
      <c r="N166" s="899">
        <f t="shared" si="87"/>
        <v>0</v>
      </c>
      <c r="O166" s="899">
        <f t="shared" si="85"/>
        <v>0</v>
      </c>
      <c r="P166" s="899">
        <f t="shared" si="86"/>
        <v>0</v>
      </c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</row>
    <row r="167" spans="1:26" ht="18.75" hidden="1">
      <c r="A167" s="1005"/>
      <c r="B167" s="895"/>
      <c r="C167" s="895"/>
      <c r="D167" s="895"/>
      <c r="E167" s="896" t="s">
        <v>19</v>
      </c>
      <c r="F167" s="895"/>
      <c r="G167" s="1006"/>
      <c r="H167" s="158" t="s">
        <v>12</v>
      </c>
      <c r="I167" s="898"/>
      <c r="J167" s="898"/>
      <c r="K167" s="899"/>
      <c r="L167" s="899">
        <f t="shared" ca="1" si="87"/>
        <v>23060</v>
      </c>
      <c r="M167" s="899">
        <f t="shared" ca="1" si="87"/>
        <v>23060</v>
      </c>
      <c r="N167" s="899">
        <f t="shared" ca="1" si="87"/>
        <v>23060</v>
      </c>
      <c r="O167" s="899">
        <f t="shared" ca="1" si="85"/>
        <v>100</v>
      </c>
      <c r="P167" s="899">
        <f t="shared" ca="1" si="86"/>
        <v>100</v>
      </c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</row>
    <row r="168" spans="1:26" ht="18.75">
      <c r="A168" s="1007"/>
      <c r="B168" s="889"/>
      <c r="C168" s="1008"/>
      <c r="D168" s="890" t="s">
        <v>20</v>
      </c>
      <c r="E168" s="889"/>
      <c r="F168" s="889"/>
      <c r="G168" s="891"/>
      <c r="H168" s="161" t="s">
        <v>12</v>
      </c>
      <c r="I168" s="1009"/>
      <c r="J168" s="1009"/>
      <c r="K168" s="1010"/>
      <c r="L168" s="893">
        <f t="shared" ref="L168:N168" ca="1" si="88">L169+L170</f>
        <v>23060</v>
      </c>
      <c r="M168" s="893">
        <f t="shared" ca="1" si="88"/>
        <v>23060</v>
      </c>
      <c r="N168" s="893">
        <f t="shared" ca="1" si="88"/>
        <v>23060</v>
      </c>
      <c r="O168" s="893">
        <f t="shared" ca="1" si="85"/>
        <v>100</v>
      </c>
      <c r="P168" s="893">
        <f t="shared" ca="1" si="86"/>
        <v>100</v>
      </c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</row>
    <row r="169" spans="1:26" ht="19.5" hidden="1">
      <c r="A169" s="1005"/>
      <c r="B169" s="895"/>
      <c r="C169" s="1011"/>
      <c r="D169" s="895"/>
      <c r="E169" s="896" t="s">
        <v>36</v>
      </c>
      <c r="F169" s="895"/>
      <c r="G169" s="1006"/>
      <c r="H169" s="165" t="s">
        <v>12</v>
      </c>
      <c r="I169" s="1012"/>
      <c r="J169" s="1012"/>
      <c r="K169" s="1013"/>
      <c r="L169" s="899">
        <v>0</v>
      </c>
      <c r="M169" s="899">
        <v>0</v>
      </c>
      <c r="N169" s="899">
        <v>0</v>
      </c>
      <c r="O169" s="899">
        <f t="shared" si="85"/>
        <v>0</v>
      </c>
      <c r="P169" s="899">
        <f t="shared" si="86"/>
        <v>0</v>
      </c>
      <c r="Q169" s="887"/>
      <c r="R169" s="887"/>
      <c r="S169" s="887"/>
      <c r="T169" s="887"/>
      <c r="U169" s="887"/>
      <c r="V169" s="887"/>
      <c r="W169" s="887"/>
      <c r="X169" s="887"/>
      <c r="Y169" s="887"/>
      <c r="Z169" s="887"/>
    </row>
    <row r="170" spans="1:26" ht="19.5" hidden="1">
      <c r="A170" s="1005"/>
      <c r="B170" s="895"/>
      <c r="C170" s="1011"/>
      <c r="D170" s="895"/>
      <c r="E170" s="896" t="s">
        <v>37</v>
      </c>
      <c r="F170" s="895"/>
      <c r="G170" s="1006"/>
      <c r="H170" s="165" t="s">
        <v>12</v>
      </c>
      <c r="I170" s="1012"/>
      <c r="J170" s="1012"/>
      <c r="K170" s="1013"/>
      <c r="L170" s="899">
        <f ca="1">IFERROR(__xludf.DUMMYFUNCTION("IMPORTRANGE(""https://docs.google.com/spreadsheets/d/1MeEWN-I1oV_STSDYn1IFDPWt_1FKiwhDph83XaGc0o0/edit?usp=sharing"",""งบพรบ!CE51"")"),23060)</f>
        <v>23060</v>
      </c>
      <c r="M170" s="899">
        <f ca="1">IFERROR(__xludf.DUMMYFUNCTION("IMPORTRANGE(""https://docs.google.com/spreadsheets/d/1MeEWN-I1oV_STSDYn1IFDPWt_1FKiwhDph83XaGc0o0/edit?usp=sharing"",""งบพรบ!CJ51"")"),23060)</f>
        <v>23060</v>
      </c>
      <c r="N170" s="899">
        <f ca="1">IFERROR(__xludf.DUMMYFUNCTION("IMPORTRANGE(""https://docs.google.com/spreadsheets/d/1MeEWN-I1oV_STSDYn1IFDPWt_1FKiwhDph83XaGc0o0/edit?usp=sharing"",""งบพรบ!CL51"")"),23060)</f>
        <v>23060</v>
      </c>
      <c r="O170" s="899">
        <f t="shared" ca="1" si="85"/>
        <v>100</v>
      </c>
      <c r="P170" s="899">
        <f t="shared" ca="1" si="86"/>
        <v>100</v>
      </c>
      <c r="Q170" s="887"/>
      <c r="R170" s="887"/>
      <c r="S170" s="887"/>
      <c r="T170" s="887"/>
      <c r="U170" s="887"/>
      <c r="V170" s="887"/>
      <c r="W170" s="887"/>
      <c r="X170" s="887"/>
      <c r="Y170" s="887"/>
      <c r="Z170" s="887"/>
    </row>
    <row r="171" spans="1:26" ht="18.75">
      <c r="A171" s="1007"/>
      <c r="B171" s="889"/>
      <c r="C171" s="1008"/>
      <c r="D171" s="890" t="s">
        <v>21</v>
      </c>
      <c r="E171" s="889"/>
      <c r="F171" s="889"/>
      <c r="G171" s="891"/>
      <c r="H171" s="168" t="s">
        <v>12</v>
      </c>
      <c r="I171" s="1009"/>
      <c r="J171" s="1009"/>
      <c r="K171" s="1010"/>
      <c r="L171" s="893">
        <f t="shared" ref="L171:N171" ca="1" si="89">L172+L173</f>
        <v>0</v>
      </c>
      <c r="M171" s="893">
        <f t="shared" ca="1" si="89"/>
        <v>0</v>
      </c>
      <c r="N171" s="893">
        <f t="shared" ca="1" si="89"/>
        <v>0</v>
      </c>
      <c r="O171" s="893">
        <f t="shared" ca="1" si="85"/>
        <v>0</v>
      </c>
      <c r="P171" s="893">
        <f t="shared" ca="1" si="86"/>
        <v>0</v>
      </c>
      <c r="Q171" s="880"/>
      <c r="R171" s="880"/>
      <c r="S171" s="880"/>
      <c r="T171" s="880"/>
      <c r="U171" s="880"/>
      <c r="V171" s="880"/>
      <c r="W171" s="880"/>
      <c r="X171" s="880"/>
      <c r="Y171" s="880"/>
      <c r="Z171" s="880"/>
    </row>
    <row r="172" spans="1:26" ht="19.5" hidden="1">
      <c r="A172" s="1005"/>
      <c r="B172" s="895"/>
      <c r="C172" s="1011"/>
      <c r="D172" s="895"/>
      <c r="E172" s="896" t="s">
        <v>18</v>
      </c>
      <c r="F172" s="895"/>
      <c r="G172" s="1006"/>
      <c r="H172" s="165" t="s">
        <v>12</v>
      </c>
      <c r="I172" s="1012"/>
      <c r="J172" s="1012"/>
      <c r="K172" s="1013"/>
      <c r="L172" s="899">
        <v>0</v>
      </c>
      <c r="M172" s="899">
        <v>0</v>
      </c>
      <c r="N172" s="899">
        <v>0</v>
      </c>
      <c r="O172" s="899">
        <f t="shared" si="85"/>
        <v>0</v>
      </c>
      <c r="P172" s="899">
        <f t="shared" si="86"/>
        <v>0</v>
      </c>
      <c r="Q172" s="887"/>
      <c r="R172" s="887"/>
      <c r="S172" s="887"/>
      <c r="T172" s="887"/>
      <c r="U172" s="887"/>
      <c r="V172" s="887"/>
      <c r="W172" s="887"/>
      <c r="X172" s="887"/>
      <c r="Y172" s="887"/>
      <c r="Z172" s="887"/>
    </row>
    <row r="173" spans="1:26" ht="19.5" hidden="1">
      <c r="A173" s="1005"/>
      <c r="B173" s="895"/>
      <c r="C173" s="1011"/>
      <c r="D173" s="895"/>
      <c r="E173" s="896" t="s">
        <v>19</v>
      </c>
      <c r="F173" s="895"/>
      <c r="G173" s="1006"/>
      <c r="H173" s="169" t="s">
        <v>12</v>
      </c>
      <c r="I173" s="1012"/>
      <c r="J173" s="1012"/>
      <c r="K173" s="1013"/>
      <c r="L173" s="899">
        <f ca="1">IFERROR(__xludf.DUMMYFUNCTION("IMPORTRANGE(""https://docs.google.com/spreadsheets/d/1MeEWN-I1oV_STSDYn1IFDPWt_1FKiwhDph83XaGc0o0/edit?usp=sharing"",""งบพรบ!CH51"")"),0)</f>
        <v>0</v>
      </c>
      <c r="M173" s="899">
        <f ca="1">IFERROR(__xludf.DUMMYFUNCTION("IMPORTRANGE(""https://docs.google.com/spreadsheets/d/1MeEWN-I1oV_STSDYn1IFDPWt_1FKiwhDph83XaGc0o0/edit?usp=sharing"",""งบพรบ!CK51"")"),0)</f>
        <v>0</v>
      </c>
      <c r="N173" s="899">
        <f ca="1">IFERROR(__xludf.DUMMYFUNCTION("IMPORTRANGE(""https://docs.google.com/spreadsheets/d/1MeEWN-I1oV_STSDYn1IFDPWt_1FKiwhDph83XaGc0o0/edit?usp=sharing"",""งบพรบ!CM51"")"),0)</f>
        <v>0</v>
      </c>
      <c r="O173" s="899">
        <f t="shared" ca="1" si="85"/>
        <v>0</v>
      </c>
      <c r="P173" s="899">
        <f t="shared" ca="1" si="86"/>
        <v>0</v>
      </c>
      <c r="Q173" s="887"/>
      <c r="R173" s="887"/>
      <c r="S173" s="887"/>
      <c r="T173" s="887"/>
      <c r="U173" s="887"/>
      <c r="V173" s="887"/>
      <c r="W173" s="887"/>
      <c r="X173" s="887"/>
      <c r="Y173" s="887"/>
      <c r="Z173" s="887"/>
    </row>
    <row r="174" spans="1:26" ht="19.5">
      <c r="A174" s="1076"/>
      <c r="B174" s="1077"/>
      <c r="C174" s="1078" t="s">
        <v>84</v>
      </c>
      <c r="D174" s="1077"/>
      <c r="E174" s="1077"/>
      <c r="F174" s="1077"/>
      <c r="G174" s="1079"/>
      <c r="H174" s="260" t="s">
        <v>35</v>
      </c>
      <c r="I174" s="1080">
        <f t="shared" ref="I174:J174" ca="1" si="90">I176</f>
        <v>12</v>
      </c>
      <c r="J174" s="1080">
        <f t="shared" si="90"/>
        <v>12</v>
      </c>
      <c r="K174" s="1081">
        <f ca="1">IF(I174&gt;0,J174*100/I174,0)</f>
        <v>100</v>
      </c>
      <c r="L174" s="1081"/>
      <c r="M174" s="1081"/>
      <c r="N174" s="1081"/>
      <c r="O174" s="1081"/>
      <c r="P174" s="1081"/>
    </row>
    <row r="175" spans="1:26" ht="19.5">
      <c r="A175" s="1014"/>
      <c r="B175" s="1015"/>
      <c r="C175" s="1011" t="s">
        <v>16</v>
      </c>
      <c r="D175" s="1016" t="s">
        <v>38</v>
      </c>
      <c r="E175" s="1017"/>
      <c r="F175" s="1017"/>
      <c r="G175" s="1018"/>
      <c r="H175" s="1019"/>
      <c r="I175" s="1009"/>
      <c r="J175" s="1009"/>
      <c r="K175" s="1010"/>
      <c r="L175" s="1010"/>
      <c r="M175" s="1010"/>
      <c r="N175" s="1010"/>
      <c r="O175" s="1010"/>
      <c r="P175" s="1010"/>
    </row>
    <row r="176" spans="1:26" ht="18.75">
      <c r="A176" s="1014"/>
      <c r="B176" s="1015"/>
      <c r="C176" s="1015"/>
      <c r="D176" s="1082" t="s">
        <v>85</v>
      </c>
      <c r="E176" s="1022"/>
      <c r="F176" s="1022"/>
      <c r="G176" s="1023"/>
      <c r="H176" s="621" t="s">
        <v>35</v>
      </c>
      <c r="I176" s="892">
        <f ca="1">IFERROR(__xludf.DUMMYFUNCTION("IMPORTRANGE(""https://docs.google.com/spreadsheets/d/1QqKyyYR6Q21VydFLVH3TRQUabQu_ym0Zz7PgGX0-kHA/edit?usp=sharing"",""แผน!Y51"")"),12)</f>
        <v>12</v>
      </c>
      <c r="J176" s="1024">
        <v>12</v>
      </c>
      <c r="K176" s="1010">
        <f ca="1">IF(I176&gt;0,J176*100/I176,0)</f>
        <v>100</v>
      </c>
      <c r="L176" s="1010"/>
      <c r="M176" s="1010"/>
      <c r="N176" s="1010"/>
      <c r="O176" s="1010"/>
      <c r="P176" s="1010"/>
    </row>
    <row r="177" spans="1:26" ht="19.5" hidden="1">
      <c r="A177" s="1076"/>
      <c r="B177" s="1083"/>
      <c r="C177" s="1084" t="s">
        <v>86</v>
      </c>
      <c r="D177" s="1083"/>
      <c r="E177" s="1077"/>
      <c r="F177" s="1077"/>
      <c r="G177" s="1079"/>
      <c r="H177" s="266" t="s">
        <v>35</v>
      </c>
      <c r="I177" s="1080"/>
      <c r="J177" s="1080">
        <f>J179</f>
        <v>0</v>
      </c>
      <c r="K177" s="1081"/>
      <c r="L177" s="1081"/>
      <c r="M177" s="1081"/>
      <c r="N177" s="1081"/>
      <c r="O177" s="1081"/>
      <c r="P177" s="1081"/>
    </row>
    <row r="178" spans="1:26" ht="19.5" hidden="1">
      <c r="A178" s="1014"/>
      <c r="B178" s="1015"/>
      <c r="C178" s="1011" t="s">
        <v>16</v>
      </c>
      <c r="D178" s="1085" t="s">
        <v>38</v>
      </c>
      <c r="E178" s="1017"/>
      <c r="F178" s="1017"/>
      <c r="G178" s="1018"/>
      <c r="H178" s="1019"/>
      <c r="I178" s="1009"/>
      <c r="J178" s="1009"/>
      <c r="K178" s="1010"/>
      <c r="L178" s="1010"/>
      <c r="M178" s="1010"/>
      <c r="N178" s="1010"/>
      <c r="O178" s="1010"/>
      <c r="P178" s="1010"/>
    </row>
    <row r="179" spans="1:26" ht="18.75" hidden="1">
      <c r="A179" s="1014"/>
      <c r="B179" s="1015"/>
      <c r="C179" s="1015"/>
      <c r="D179" s="1086" t="s">
        <v>87</v>
      </c>
      <c r="E179" s="1022"/>
      <c r="F179" s="1087"/>
      <c r="G179" s="1023"/>
      <c r="H179" s="43" t="s">
        <v>35</v>
      </c>
      <c r="I179" s="892"/>
      <c r="J179" s="892"/>
      <c r="K179" s="1010"/>
      <c r="L179" s="1010"/>
      <c r="M179" s="1010"/>
      <c r="N179" s="1010"/>
      <c r="O179" s="1010"/>
      <c r="P179" s="1010"/>
    </row>
    <row r="180" spans="1:26" ht="19.5">
      <c r="A180" s="1070"/>
      <c r="B180" s="1071" t="s">
        <v>88</v>
      </c>
      <c r="C180" s="1072"/>
      <c r="D180" s="1017"/>
      <c r="E180" s="1017"/>
      <c r="F180" s="1017"/>
      <c r="G180" s="1018"/>
      <c r="H180" s="252" t="s">
        <v>35</v>
      </c>
      <c r="I180" s="1073">
        <f t="shared" ref="I180:J180" ca="1" si="91">I225+I226</f>
        <v>40</v>
      </c>
      <c r="J180" s="1073">
        <f t="shared" si="91"/>
        <v>40</v>
      </c>
      <c r="K180" s="1074">
        <f ca="1">IF(I180&gt;0,J180*100/I180,0)</f>
        <v>100</v>
      </c>
      <c r="L180" s="1075"/>
      <c r="M180" s="1075"/>
      <c r="N180" s="1075"/>
      <c r="O180" s="1075"/>
      <c r="P180" s="1075"/>
    </row>
    <row r="181" spans="1:26" ht="19.5">
      <c r="A181" s="997"/>
      <c r="B181" s="998"/>
      <c r="C181" s="999" t="s">
        <v>16</v>
      </c>
      <c r="D181" s="1000" t="s">
        <v>17</v>
      </c>
      <c r="E181" s="998"/>
      <c r="F181" s="998"/>
      <c r="G181" s="1001"/>
      <c r="H181" s="152" t="s">
        <v>12</v>
      </c>
      <c r="I181" s="1002"/>
      <c r="J181" s="1002"/>
      <c r="K181" s="1003"/>
      <c r="L181" s="1004">
        <f t="shared" ref="L181:N181" ca="1" si="92">L182+L183</f>
        <v>492400</v>
      </c>
      <c r="M181" s="1004">
        <f t="shared" ca="1" si="92"/>
        <v>386525</v>
      </c>
      <c r="N181" s="1004">
        <f t="shared" ca="1" si="92"/>
        <v>337267.1</v>
      </c>
      <c r="O181" s="1004">
        <f t="shared" ref="O181:O189" ca="1" si="93">IF(L181&gt;0,N181*100/L181,0)</f>
        <v>68.494536961819662</v>
      </c>
      <c r="P181" s="1004">
        <f t="shared" ref="P181:P189" ca="1" si="94">IF(M181&gt;0,N181*100/M181,0)</f>
        <v>87.256218873294088</v>
      </c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</row>
    <row r="182" spans="1:26" ht="18.75" hidden="1">
      <c r="A182" s="1005"/>
      <c r="B182" s="895"/>
      <c r="C182" s="895"/>
      <c r="D182" s="895"/>
      <c r="E182" s="896" t="s">
        <v>18</v>
      </c>
      <c r="F182" s="895"/>
      <c r="G182" s="1006"/>
      <c r="H182" s="158" t="s">
        <v>12</v>
      </c>
      <c r="I182" s="898"/>
      <c r="J182" s="898"/>
      <c r="K182" s="899"/>
      <c r="L182" s="899">
        <f t="shared" ref="L182:N183" si="95">L185+L188</f>
        <v>0</v>
      </c>
      <c r="M182" s="899">
        <f t="shared" si="95"/>
        <v>0</v>
      </c>
      <c r="N182" s="899">
        <f t="shared" si="95"/>
        <v>0</v>
      </c>
      <c r="O182" s="899">
        <f t="shared" si="93"/>
        <v>0</v>
      </c>
      <c r="P182" s="899">
        <f t="shared" si="94"/>
        <v>0</v>
      </c>
      <c r="Q182" s="887"/>
      <c r="R182" s="887"/>
      <c r="S182" s="887"/>
      <c r="T182" s="887"/>
      <c r="U182" s="887"/>
      <c r="V182" s="887"/>
      <c r="W182" s="887"/>
      <c r="X182" s="887"/>
      <c r="Y182" s="887"/>
      <c r="Z182" s="887"/>
    </row>
    <row r="183" spans="1:26" ht="18.75" hidden="1">
      <c r="A183" s="1005"/>
      <c r="B183" s="895"/>
      <c r="C183" s="895"/>
      <c r="D183" s="895"/>
      <c r="E183" s="896" t="s">
        <v>19</v>
      </c>
      <c r="F183" s="895"/>
      <c r="G183" s="1006"/>
      <c r="H183" s="158" t="s">
        <v>12</v>
      </c>
      <c r="I183" s="898"/>
      <c r="J183" s="898"/>
      <c r="K183" s="899"/>
      <c r="L183" s="899">
        <f t="shared" ca="1" si="95"/>
        <v>492400</v>
      </c>
      <c r="M183" s="899">
        <f t="shared" ca="1" si="95"/>
        <v>386525</v>
      </c>
      <c r="N183" s="899">
        <f t="shared" ca="1" si="95"/>
        <v>337267.1</v>
      </c>
      <c r="O183" s="899">
        <f t="shared" ca="1" si="93"/>
        <v>68.494536961819662</v>
      </c>
      <c r="P183" s="899">
        <f t="shared" ca="1" si="94"/>
        <v>87.256218873294088</v>
      </c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</row>
    <row r="184" spans="1:26" ht="18.75">
      <c r="A184" s="1007"/>
      <c r="B184" s="889"/>
      <c r="C184" s="1008"/>
      <c r="D184" s="890" t="s">
        <v>20</v>
      </c>
      <c r="E184" s="889"/>
      <c r="F184" s="889"/>
      <c r="G184" s="891"/>
      <c r="H184" s="161" t="s">
        <v>12</v>
      </c>
      <c r="I184" s="1009"/>
      <c r="J184" s="1009"/>
      <c r="K184" s="1010"/>
      <c r="L184" s="893">
        <f t="shared" ref="L184:N184" ca="1" si="96">L185+L186</f>
        <v>492400</v>
      </c>
      <c r="M184" s="893">
        <f t="shared" ca="1" si="96"/>
        <v>386525</v>
      </c>
      <c r="N184" s="893">
        <f t="shared" ca="1" si="96"/>
        <v>337267.1</v>
      </c>
      <c r="O184" s="893">
        <f t="shared" ca="1" si="93"/>
        <v>68.494536961819662</v>
      </c>
      <c r="P184" s="893">
        <f t="shared" ca="1" si="94"/>
        <v>87.256218873294088</v>
      </c>
      <c r="Q184" s="880"/>
      <c r="R184" s="880"/>
      <c r="S184" s="880"/>
      <c r="T184" s="880"/>
      <c r="U184" s="880"/>
      <c r="V184" s="880"/>
      <c r="W184" s="880"/>
      <c r="X184" s="880"/>
      <c r="Y184" s="880"/>
      <c r="Z184" s="880"/>
    </row>
    <row r="185" spans="1:26" ht="19.5" hidden="1">
      <c r="A185" s="1005"/>
      <c r="B185" s="895"/>
      <c r="C185" s="1011"/>
      <c r="D185" s="895"/>
      <c r="E185" s="896" t="s">
        <v>36</v>
      </c>
      <c r="F185" s="895"/>
      <c r="G185" s="1006"/>
      <c r="H185" s="165" t="s">
        <v>12</v>
      </c>
      <c r="I185" s="1012"/>
      <c r="J185" s="1012"/>
      <c r="K185" s="1013"/>
      <c r="L185" s="899">
        <v>0</v>
      </c>
      <c r="M185" s="899">
        <v>0</v>
      </c>
      <c r="N185" s="899">
        <v>0</v>
      </c>
      <c r="O185" s="899">
        <f t="shared" si="93"/>
        <v>0</v>
      </c>
      <c r="P185" s="899">
        <f t="shared" si="94"/>
        <v>0</v>
      </c>
      <c r="Q185" s="887"/>
      <c r="R185" s="887"/>
      <c r="S185" s="887"/>
      <c r="T185" s="887"/>
      <c r="U185" s="887"/>
      <c r="V185" s="887"/>
      <c r="W185" s="887"/>
      <c r="X185" s="887"/>
      <c r="Y185" s="887"/>
      <c r="Z185" s="887"/>
    </row>
    <row r="186" spans="1:26" ht="19.5" hidden="1">
      <c r="A186" s="1005"/>
      <c r="B186" s="895"/>
      <c r="C186" s="1011"/>
      <c r="D186" s="895"/>
      <c r="E186" s="896" t="s">
        <v>37</v>
      </c>
      <c r="F186" s="895"/>
      <c r="G186" s="1006"/>
      <c r="H186" s="165" t="s">
        <v>12</v>
      </c>
      <c r="I186" s="1012"/>
      <c r="J186" s="1012"/>
      <c r="K186" s="1013"/>
      <c r="L186" s="899">
        <f ca="1">IFERROR(__xludf.DUMMYFUNCTION("IMPORTRANGE(""https://docs.google.com/spreadsheets/d/1MeEWN-I1oV_STSDYn1IFDPWt_1FKiwhDph83XaGc0o0/edit?usp=sharing"",""งบพรบ!CO51"")"),492400)</f>
        <v>492400</v>
      </c>
      <c r="M186" s="899">
        <f ca="1">IFERROR(__xludf.DUMMYFUNCTION("IMPORTRANGE(""https://docs.google.com/spreadsheets/d/1MeEWN-I1oV_STSDYn1IFDPWt_1FKiwhDph83XaGc0o0/edit?usp=sharing"",""งบพรบ!CT51"")"),386525)</f>
        <v>386525</v>
      </c>
      <c r="N186" s="899">
        <f ca="1">IFERROR(__xludf.DUMMYFUNCTION("IMPORTRANGE(""https://docs.google.com/spreadsheets/d/1MeEWN-I1oV_STSDYn1IFDPWt_1FKiwhDph83XaGc0o0/edit?usp=sharing"",""งบพรบ!CV51"")"),337267.1)</f>
        <v>337267.1</v>
      </c>
      <c r="O186" s="899">
        <f t="shared" ca="1" si="93"/>
        <v>68.494536961819662</v>
      </c>
      <c r="P186" s="899">
        <f t="shared" ca="1" si="94"/>
        <v>87.256218873294088</v>
      </c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</row>
    <row r="187" spans="1:26" ht="18.75">
      <c r="A187" s="1007"/>
      <c r="B187" s="889"/>
      <c r="C187" s="1008"/>
      <c r="D187" s="890" t="s">
        <v>21</v>
      </c>
      <c r="E187" s="889"/>
      <c r="F187" s="889"/>
      <c r="G187" s="891"/>
      <c r="H187" s="168" t="s">
        <v>12</v>
      </c>
      <c r="I187" s="1009"/>
      <c r="J187" s="1009"/>
      <c r="K187" s="1010"/>
      <c r="L187" s="893">
        <f t="shared" ref="L187:N187" ca="1" si="97">L188+L189</f>
        <v>0</v>
      </c>
      <c r="M187" s="893">
        <f t="shared" ca="1" si="97"/>
        <v>0</v>
      </c>
      <c r="N187" s="893">
        <f t="shared" ca="1" si="97"/>
        <v>0</v>
      </c>
      <c r="O187" s="893">
        <f t="shared" ca="1" si="93"/>
        <v>0</v>
      </c>
      <c r="P187" s="893">
        <f t="shared" ca="1" si="94"/>
        <v>0</v>
      </c>
      <c r="Q187" s="880"/>
      <c r="R187" s="880"/>
      <c r="S187" s="880"/>
      <c r="T187" s="880"/>
      <c r="U187" s="880"/>
      <c r="V187" s="880"/>
      <c r="W187" s="880"/>
      <c r="X187" s="880"/>
      <c r="Y187" s="880"/>
      <c r="Z187" s="880"/>
    </row>
    <row r="188" spans="1:26" ht="19.5" hidden="1">
      <c r="A188" s="1005"/>
      <c r="B188" s="895"/>
      <c r="C188" s="1011"/>
      <c r="D188" s="895"/>
      <c r="E188" s="896" t="s">
        <v>18</v>
      </c>
      <c r="F188" s="895"/>
      <c r="G188" s="1006"/>
      <c r="H188" s="165" t="s">
        <v>12</v>
      </c>
      <c r="I188" s="1012"/>
      <c r="J188" s="1012"/>
      <c r="K188" s="1013"/>
      <c r="L188" s="899">
        <v>0</v>
      </c>
      <c r="M188" s="899">
        <v>0</v>
      </c>
      <c r="N188" s="899">
        <v>0</v>
      </c>
      <c r="O188" s="899">
        <f t="shared" si="93"/>
        <v>0</v>
      </c>
      <c r="P188" s="899">
        <f t="shared" si="94"/>
        <v>0</v>
      </c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</row>
    <row r="189" spans="1:26" ht="19.5" hidden="1">
      <c r="A189" s="1005"/>
      <c r="B189" s="895"/>
      <c r="C189" s="1011"/>
      <c r="D189" s="895"/>
      <c r="E189" s="896" t="s">
        <v>19</v>
      </c>
      <c r="F189" s="895"/>
      <c r="G189" s="1006"/>
      <c r="H189" s="169" t="s">
        <v>12</v>
      </c>
      <c r="I189" s="1012"/>
      <c r="J189" s="1012"/>
      <c r="K189" s="1013"/>
      <c r="L189" s="899">
        <f ca="1">IFERROR(__xludf.DUMMYFUNCTION("IMPORTRANGE(""https://docs.google.com/spreadsheets/d/1MeEWN-I1oV_STSDYn1IFDPWt_1FKiwhDph83XaGc0o0/edit?usp=sharing"",""งบพรบ!CR51"")"),0)</f>
        <v>0</v>
      </c>
      <c r="M189" s="899">
        <f ca="1">IFERROR(__xludf.DUMMYFUNCTION("IMPORTRANGE(""https://docs.google.com/spreadsheets/d/1MeEWN-I1oV_STSDYn1IFDPWt_1FKiwhDph83XaGc0o0/edit?usp=sharing"",""งบพรบ!CU51"")"),0)</f>
        <v>0</v>
      </c>
      <c r="N189" s="899">
        <f ca="1">IFERROR(__xludf.DUMMYFUNCTION("IMPORTRANGE(""https://docs.google.com/spreadsheets/d/1MeEWN-I1oV_STSDYn1IFDPWt_1FKiwhDph83XaGc0o0/edit?usp=sharing"",""งบพรบ!CW51"")"),0)</f>
        <v>0</v>
      </c>
      <c r="O189" s="899">
        <f t="shared" ca="1" si="93"/>
        <v>0</v>
      </c>
      <c r="P189" s="899">
        <f t="shared" ca="1" si="94"/>
        <v>0</v>
      </c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</row>
    <row r="190" spans="1:26" ht="19.5">
      <c r="A190" s="1076"/>
      <c r="B190" s="1083"/>
      <c r="C190" s="1088" t="s">
        <v>89</v>
      </c>
      <c r="D190" s="1077"/>
      <c r="E190" s="1077"/>
      <c r="F190" s="1077"/>
      <c r="G190" s="1079"/>
      <c r="H190" s="260" t="s">
        <v>90</v>
      </c>
      <c r="I190" s="1089">
        <f t="shared" ref="I190:J190" ca="1" si="98">I193</f>
        <v>4</v>
      </c>
      <c r="J190" s="1089">
        <f t="shared" si="98"/>
        <v>2</v>
      </c>
      <c r="K190" s="1090">
        <f ca="1">IF(I190&gt;0,J190*100/I190,0)</f>
        <v>50</v>
      </c>
      <c r="L190" s="1081"/>
      <c r="M190" s="1081"/>
      <c r="N190" s="1081"/>
      <c r="O190" s="1081"/>
      <c r="P190" s="1081"/>
    </row>
    <row r="191" spans="1:26" ht="19.5">
      <c r="A191" s="997"/>
      <c r="B191" s="998"/>
      <c r="C191" s="999" t="s">
        <v>16</v>
      </c>
      <c r="D191" s="1091" t="s">
        <v>17</v>
      </c>
      <c r="E191" s="998"/>
      <c r="F191" s="998"/>
      <c r="G191" s="1001"/>
      <c r="H191" s="275" t="s">
        <v>12</v>
      </c>
      <c r="I191" s="1002"/>
      <c r="J191" s="1002"/>
      <c r="K191" s="1003"/>
      <c r="L191" s="1004">
        <f ca="1">IFERROR(__xludf.DUMMYFUNCTION("IMPORTRANGE(""https://docs.google.com/spreadsheets/d/1QqKyyYR6Q21VydFLVH3TRQUabQu_ym0Zz7PgGX0-kHA/edit?usp=sharing"",""แผน!Z51"")"),6000)</f>
        <v>6000</v>
      </c>
      <c r="M191" s="1004"/>
      <c r="N191" s="1092">
        <v>0</v>
      </c>
      <c r="O191" s="1004">
        <f ca="1">IF(L191&gt;0,N191*100/L191,0)</f>
        <v>0</v>
      </c>
      <c r="P191" s="1004">
        <f>IF(M191&gt;0,N191*100/M191,0)</f>
        <v>0</v>
      </c>
      <c r="Q191" s="880"/>
      <c r="R191" s="880"/>
      <c r="S191" s="880"/>
      <c r="T191" s="880"/>
      <c r="U191" s="880"/>
      <c r="V191" s="880"/>
      <c r="W191" s="880"/>
      <c r="X191" s="880"/>
      <c r="Y191" s="880"/>
      <c r="Z191" s="880"/>
    </row>
    <row r="192" spans="1:26" ht="19.5">
      <c r="A192" s="1014"/>
      <c r="B192" s="1015"/>
      <c r="C192" s="1041" t="s">
        <v>16</v>
      </c>
      <c r="D192" s="1016" t="s">
        <v>38</v>
      </c>
      <c r="E192" s="1017"/>
      <c r="F192" s="1017"/>
      <c r="G192" s="1018"/>
      <c r="H192" s="1019"/>
      <c r="I192" s="892"/>
      <c r="J192" s="892"/>
      <c r="K192" s="893"/>
      <c r="L192" s="893"/>
      <c r="M192" s="893"/>
      <c r="N192" s="893"/>
      <c r="O192" s="893"/>
      <c r="P192" s="893"/>
      <c r="Q192" s="880"/>
      <c r="R192" s="880"/>
      <c r="S192" s="880"/>
      <c r="T192" s="880"/>
      <c r="U192" s="880"/>
      <c r="V192" s="880"/>
      <c r="W192" s="880"/>
      <c r="X192" s="880"/>
      <c r="Y192" s="880"/>
      <c r="Z192" s="880"/>
    </row>
    <row r="193" spans="1:26" ht="18.75">
      <c r="A193" s="1014"/>
      <c r="B193" s="1015"/>
      <c r="C193" s="1015"/>
      <c r="D193" s="1021" t="s">
        <v>91</v>
      </c>
      <c r="E193" s="1022"/>
      <c r="F193" s="1022"/>
      <c r="G193" s="1023"/>
      <c r="H193" s="761" t="s">
        <v>90</v>
      </c>
      <c r="I193" s="892">
        <f ca="1">IFERROR(__xludf.DUMMYFUNCTION("IMPORTRANGE(""https://docs.google.com/spreadsheets/d/1QqKyyYR6Q21VydFLVH3TRQUabQu_ym0Zz7PgGX0-kHA/edit?usp=sharing"",""แผน!AC51"")"),4)</f>
        <v>4</v>
      </c>
      <c r="J193" s="1024">
        <v>2</v>
      </c>
      <c r="K193" s="893">
        <f ca="1">IF(I193&gt;0,J193*100/I193,0)</f>
        <v>50</v>
      </c>
      <c r="L193" s="893"/>
      <c r="M193" s="893"/>
      <c r="N193" s="893"/>
      <c r="O193" s="893"/>
      <c r="P193" s="893"/>
      <c r="Q193" s="880"/>
      <c r="R193" s="880"/>
      <c r="S193" s="880"/>
      <c r="T193" s="880"/>
      <c r="U193" s="880"/>
      <c r="V193" s="880"/>
      <c r="W193" s="880"/>
      <c r="X193" s="880"/>
      <c r="Y193" s="880"/>
      <c r="Z193" s="880"/>
    </row>
    <row r="194" spans="1:26" ht="18.75">
      <c r="A194" s="1014"/>
      <c r="B194" s="1015"/>
      <c r="C194" s="1015"/>
      <c r="D194" s="1021" t="s">
        <v>92</v>
      </c>
      <c r="E194" s="1022"/>
      <c r="F194" s="1022"/>
      <c r="G194" s="1023"/>
      <c r="H194" s="277" t="s">
        <v>35</v>
      </c>
      <c r="I194" s="892"/>
      <c r="J194" s="892">
        <f>J195+J196</f>
        <v>111</v>
      </c>
      <c r="K194" s="893"/>
      <c r="L194" s="893"/>
      <c r="M194" s="893"/>
      <c r="N194" s="893"/>
      <c r="O194" s="893"/>
      <c r="P194" s="893"/>
      <c r="Q194" s="880"/>
      <c r="R194" s="880"/>
      <c r="S194" s="880"/>
      <c r="T194" s="880"/>
      <c r="U194" s="880"/>
      <c r="V194" s="880"/>
      <c r="W194" s="880"/>
      <c r="X194" s="880"/>
      <c r="Y194" s="880"/>
      <c r="Z194" s="880"/>
    </row>
    <row r="195" spans="1:26" ht="18.75">
      <c r="A195" s="1014"/>
      <c r="B195" s="1015"/>
      <c r="C195" s="1015"/>
      <c r="D195" s="1015"/>
      <c r="E195" s="1021" t="s">
        <v>93</v>
      </c>
      <c r="F195" s="1022"/>
      <c r="G195" s="1023"/>
      <c r="H195" s="277" t="s">
        <v>35</v>
      </c>
      <c r="I195" s="892"/>
      <c r="J195" s="1024">
        <v>111</v>
      </c>
      <c r="K195" s="893"/>
      <c r="L195" s="893"/>
      <c r="M195" s="893"/>
      <c r="N195" s="893"/>
      <c r="O195" s="893"/>
      <c r="P195" s="893"/>
      <c r="Q195" s="880"/>
      <c r="R195" s="880"/>
      <c r="S195" s="880"/>
      <c r="T195" s="880"/>
      <c r="U195" s="880"/>
      <c r="V195" s="880"/>
      <c r="W195" s="880"/>
      <c r="X195" s="880"/>
      <c r="Y195" s="880"/>
      <c r="Z195" s="880"/>
    </row>
    <row r="196" spans="1:26" ht="18.75">
      <c r="A196" s="1014"/>
      <c r="B196" s="1015"/>
      <c r="C196" s="1015"/>
      <c r="D196" s="1015"/>
      <c r="E196" s="1021" t="s">
        <v>94</v>
      </c>
      <c r="F196" s="1022"/>
      <c r="G196" s="1023"/>
      <c r="H196" s="277" t="s">
        <v>35</v>
      </c>
      <c r="I196" s="892"/>
      <c r="J196" s="1024">
        <v>0</v>
      </c>
      <c r="K196" s="893"/>
      <c r="L196" s="893"/>
      <c r="M196" s="893"/>
      <c r="N196" s="893"/>
      <c r="O196" s="893"/>
      <c r="P196" s="893"/>
      <c r="Q196" s="880"/>
      <c r="R196" s="880"/>
      <c r="S196" s="880"/>
      <c r="T196" s="880"/>
      <c r="U196" s="880"/>
      <c r="V196" s="880"/>
      <c r="W196" s="880"/>
      <c r="X196" s="880"/>
      <c r="Y196" s="880"/>
      <c r="Z196" s="880"/>
    </row>
    <row r="197" spans="1:26" ht="19.5">
      <c r="A197" s="1076"/>
      <c r="B197" s="1083"/>
      <c r="C197" s="1088" t="s">
        <v>95</v>
      </c>
      <c r="D197" s="1077"/>
      <c r="E197" s="1077"/>
      <c r="F197" s="1077"/>
      <c r="G197" s="1079"/>
      <c r="H197" s="278" t="s">
        <v>96</v>
      </c>
      <c r="I197" s="1089">
        <f t="shared" ref="I197:J197" ca="1" si="99">I204</f>
        <v>4</v>
      </c>
      <c r="J197" s="1089">
        <f t="shared" si="99"/>
        <v>4</v>
      </c>
      <c r="K197" s="1090">
        <f ca="1">IF(I197&gt;0,J197*100/I197,0)</f>
        <v>100</v>
      </c>
      <c r="L197" s="1081"/>
      <c r="M197" s="1081"/>
      <c r="N197" s="1081"/>
      <c r="O197" s="1081"/>
      <c r="P197" s="1081"/>
    </row>
    <row r="198" spans="1:26" ht="19.5">
      <c r="A198" s="997"/>
      <c r="B198" s="998"/>
      <c r="C198" s="999" t="s">
        <v>16</v>
      </c>
      <c r="D198" s="1091" t="s">
        <v>17</v>
      </c>
      <c r="E198" s="998"/>
      <c r="F198" s="998"/>
      <c r="G198" s="1001"/>
      <c r="H198" s="275" t="s">
        <v>12</v>
      </c>
      <c r="I198" s="1093"/>
      <c r="J198" s="1093"/>
      <c r="K198" s="1094"/>
      <c r="L198" s="1004">
        <f ca="1">L199+L200+L201+L202</f>
        <v>52000</v>
      </c>
      <c r="M198" s="1004"/>
      <c r="N198" s="1004">
        <f>N199+N200+N201+N202</f>
        <v>32000</v>
      </c>
      <c r="O198" s="1004">
        <f ca="1">IF(L198&gt;0,N198*100/L198,0)</f>
        <v>61.53846153846154</v>
      </c>
      <c r="P198" s="1004">
        <f>IF(M198&gt;0,N198*100/M198,0)</f>
        <v>0</v>
      </c>
      <c r="Q198" s="880"/>
      <c r="R198" s="880"/>
      <c r="S198" s="880"/>
      <c r="T198" s="880"/>
      <c r="U198" s="880"/>
      <c r="V198" s="880"/>
      <c r="W198" s="880"/>
      <c r="X198" s="880"/>
      <c r="Y198" s="880"/>
      <c r="Z198" s="880"/>
    </row>
    <row r="199" spans="1:26" ht="18.75">
      <c r="A199" s="1007"/>
      <c r="B199" s="1095"/>
      <c r="C199" s="889"/>
      <c r="D199" s="1008" t="s">
        <v>97</v>
      </c>
      <c r="E199" s="889"/>
      <c r="F199" s="889"/>
      <c r="G199" s="891"/>
      <c r="H199" s="161" t="s">
        <v>12</v>
      </c>
      <c r="I199" s="1009"/>
      <c r="J199" s="1009"/>
      <c r="K199" s="1010"/>
      <c r="L199" s="893">
        <f ca="1">IFERROR(__xludf.DUMMYFUNCTION("IMPORTRANGE(""https://docs.google.com/spreadsheets/d/1QqKyyYR6Q21VydFLVH3TRQUabQu_ym0Zz7PgGX0-kHA/edit?usp=sharing"",""แผน!AE51"")"),4000)</f>
        <v>4000</v>
      </c>
      <c r="M199" s="893"/>
      <c r="N199" s="1096">
        <v>0</v>
      </c>
      <c r="O199" s="893"/>
      <c r="P199" s="893"/>
      <c r="Q199" s="880"/>
      <c r="R199" s="880"/>
      <c r="S199" s="880"/>
      <c r="T199" s="880"/>
      <c r="U199" s="880"/>
      <c r="V199" s="880"/>
      <c r="W199" s="880"/>
      <c r="X199" s="880"/>
      <c r="Y199" s="880"/>
      <c r="Z199" s="880"/>
    </row>
    <row r="200" spans="1:26" ht="19.5">
      <c r="A200" s="1097"/>
      <c r="B200" s="1095"/>
      <c r="C200" s="1041"/>
      <c r="D200" s="1008" t="s">
        <v>98</v>
      </c>
      <c r="E200" s="889"/>
      <c r="F200" s="889"/>
      <c r="G200" s="891"/>
      <c r="H200" s="621" t="s">
        <v>12</v>
      </c>
      <c r="I200" s="892"/>
      <c r="J200" s="892"/>
      <c r="K200" s="893"/>
      <c r="L200" s="893">
        <f ca="1">IFERROR(__xludf.DUMMYFUNCTION("IMPORTRANGE(""https://docs.google.com/spreadsheets/d/1QqKyyYR6Q21VydFLVH3TRQUabQu_ym0Zz7PgGX0-kHA/edit?usp=sharing"",""แผน!AF51"")"),32000)</f>
        <v>32000</v>
      </c>
      <c r="M200" s="893"/>
      <c r="N200" s="1096">
        <v>32000</v>
      </c>
      <c r="O200" s="893"/>
      <c r="P200" s="893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</row>
    <row r="201" spans="1:26" ht="19.5">
      <c r="A201" s="1097"/>
      <c r="B201" s="1095"/>
      <c r="C201" s="1041"/>
      <c r="D201" s="1008" t="s">
        <v>99</v>
      </c>
      <c r="E201" s="889"/>
      <c r="F201" s="889"/>
      <c r="G201" s="891"/>
      <c r="H201" s="621" t="s">
        <v>12</v>
      </c>
      <c r="I201" s="892"/>
      <c r="J201" s="892"/>
      <c r="K201" s="893"/>
      <c r="L201" s="893">
        <f ca="1">IFERROR(__xludf.DUMMYFUNCTION("IMPORTRANGE(""https://docs.google.com/spreadsheets/d/1QqKyyYR6Q21VydFLVH3TRQUabQu_ym0Zz7PgGX0-kHA/edit?usp=sharing"",""แผน!AG51"")"),16000)</f>
        <v>16000</v>
      </c>
      <c r="M201" s="893"/>
      <c r="N201" s="1096">
        <v>0</v>
      </c>
      <c r="O201" s="893"/>
      <c r="P201" s="893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</row>
    <row r="202" spans="1:26" ht="19.5">
      <c r="A202" s="1097"/>
      <c r="B202" s="1095"/>
      <c r="C202" s="1041"/>
      <c r="D202" s="1008" t="s">
        <v>100</v>
      </c>
      <c r="E202" s="889"/>
      <c r="F202" s="889"/>
      <c r="G202" s="891"/>
      <c r="H202" s="621" t="s">
        <v>12</v>
      </c>
      <c r="I202" s="892"/>
      <c r="J202" s="892"/>
      <c r="K202" s="893"/>
      <c r="L202" s="893">
        <f ca="1">IFERROR(__xludf.DUMMYFUNCTION("IMPORTRANGE(""https://docs.google.com/spreadsheets/d/1QqKyyYR6Q21VydFLVH3TRQUabQu_ym0Zz7PgGX0-kHA/edit?usp=sharing"",""แผน!AH51"")"),0)</f>
        <v>0</v>
      </c>
      <c r="M202" s="893"/>
      <c r="N202" s="1096">
        <v>0</v>
      </c>
      <c r="O202" s="893"/>
      <c r="P202" s="893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</row>
    <row r="203" spans="1:26" ht="19.5">
      <c r="A203" s="1014"/>
      <c r="B203" s="1015"/>
      <c r="C203" s="1041" t="s">
        <v>16</v>
      </c>
      <c r="D203" s="1016" t="s">
        <v>38</v>
      </c>
      <c r="E203" s="1017"/>
      <c r="F203" s="1017"/>
      <c r="G203" s="1018"/>
      <c r="H203" s="1019"/>
      <c r="I203" s="1009"/>
      <c r="J203" s="1009"/>
      <c r="K203" s="1010"/>
      <c r="L203" s="1010"/>
      <c r="M203" s="1010"/>
      <c r="N203" s="1010"/>
      <c r="O203" s="1010"/>
      <c r="P203" s="1010"/>
      <c r="Q203" s="880"/>
      <c r="R203" s="880"/>
      <c r="S203" s="880"/>
      <c r="T203" s="880"/>
      <c r="U203" s="880"/>
      <c r="V203" s="880"/>
      <c r="W203" s="880"/>
      <c r="X203" s="880"/>
      <c r="Y203" s="880"/>
      <c r="Z203" s="880"/>
    </row>
    <row r="204" spans="1:26" ht="18.75">
      <c r="A204" s="1014"/>
      <c r="B204" s="1015"/>
      <c r="C204" s="1015"/>
      <c r="D204" s="1020" t="s">
        <v>101</v>
      </c>
      <c r="E204" s="1022"/>
      <c r="F204" s="1022"/>
      <c r="G204" s="1023"/>
      <c r="H204" s="1019" t="s">
        <v>96</v>
      </c>
      <c r="I204" s="892">
        <f ca="1">IFERROR(__xludf.DUMMYFUNCTION("IMPORTRANGE(""https://docs.google.com/spreadsheets/d/1QqKyyYR6Q21VydFLVH3TRQUabQu_ym0Zz7PgGX0-kHA/edit?usp=sharing"",""แผน!AI51"")"),4)</f>
        <v>4</v>
      </c>
      <c r="J204" s="1024">
        <v>4</v>
      </c>
      <c r="K204" s="1010">
        <f ca="1">IF(I204&gt;0,J204*100/I204,0)</f>
        <v>100</v>
      </c>
      <c r="L204" s="893"/>
      <c r="M204" s="893"/>
      <c r="N204" s="893"/>
      <c r="O204" s="893"/>
      <c r="P204" s="893"/>
      <c r="Q204" s="880"/>
      <c r="R204" s="880"/>
      <c r="S204" s="880"/>
      <c r="T204" s="880"/>
      <c r="U204" s="880"/>
      <c r="V204" s="880"/>
      <c r="W204" s="880"/>
      <c r="X204" s="880"/>
      <c r="Y204" s="880"/>
      <c r="Z204" s="880"/>
    </row>
    <row r="205" spans="1:26" ht="18.75">
      <c r="A205" s="1014"/>
      <c r="B205" s="1015"/>
      <c r="C205" s="1015"/>
      <c r="D205" s="1021" t="s">
        <v>59</v>
      </c>
      <c r="E205" s="1022"/>
      <c r="F205" s="1022"/>
      <c r="G205" s="1023"/>
      <c r="H205" s="1019"/>
      <c r="I205" s="892"/>
      <c r="J205" s="892"/>
      <c r="K205" s="1010"/>
      <c r="L205" s="893"/>
      <c r="M205" s="893"/>
      <c r="N205" s="893"/>
      <c r="O205" s="893"/>
      <c r="P205" s="893"/>
      <c r="Q205" s="880"/>
      <c r="R205" s="880"/>
      <c r="S205" s="880"/>
      <c r="T205" s="880"/>
      <c r="U205" s="880"/>
      <c r="V205" s="880"/>
      <c r="W205" s="880"/>
      <c r="X205" s="880"/>
      <c r="Y205" s="880"/>
      <c r="Z205" s="880"/>
    </row>
    <row r="206" spans="1:26" ht="18.75">
      <c r="A206" s="1014"/>
      <c r="B206" s="1015"/>
      <c r="C206" s="1015"/>
      <c r="D206" s="1022"/>
      <c r="E206" s="1033" t="s">
        <v>102</v>
      </c>
      <c r="F206" s="1099"/>
      <c r="G206" s="1100"/>
      <c r="H206" s="1101" t="s">
        <v>96</v>
      </c>
      <c r="I206" s="892">
        <v>4</v>
      </c>
      <c r="J206" s="1024">
        <v>4</v>
      </c>
      <c r="K206" s="1010">
        <f t="shared" ref="K206:K208" si="100">IF(I206&gt;0,J206*100/I206,0)</f>
        <v>100</v>
      </c>
      <c r="L206" s="893"/>
      <c r="M206" s="893"/>
      <c r="N206" s="893"/>
      <c r="O206" s="893"/>
      <c r="P206" s="893"/>
      <c r="Q206" s="880"/>
      <c r="R206" s="880"/>
      <c r="S206" s="880"/>
      <c r="T206" s="880"/>
      <c r="U206" s="880"/>
      <c r="V206" s="880"/>
      <c r="W206" s="880"/>
      <c r="X206" s="880"/>
      <c r="Y206" s="880"/>
      <c r="Z206" s="880"/>
    </row>
    <row r="207" spans="1:26" ht="18.75">
      <c r="A207" s="1014"/>
      <c r="B207" s="1015"/>
      <c r="C207" s="1015"/>
      <c r="D207" s="1021"/>
      <c r="E207" s="1021" t="s">
        <v>103</v>
      </c>
      <c r="F207" s="1022"/>
      <c r="G207" s="1022"/>
      <c r="H207" s="290" t="s">
        <v>104</v>
      </c>
      <c r="I207" s="892">
        <v>0</v>
      </c>
      <c r="J207" s="1024">
        <v>0</v>
      </c>
      <c r="K207" s="1010">
        <f t="shared" si="100"/>
        <v>0</v>
      </c>
      <c r="L207" s="893"/>
      <c r="M207" s="893"/>
      <c r="N207" s="893"/>
      <c r="O207" s="893"/>
      <c r="P207" s="893"/>
      <c r="Q207" s="880"/>
      <c r="R207" s="880"/>
      <c r="S207" s="880"/>
      <c r="T207" s="880"/>
      <c r="U207" s="880"/>
      <c r="V207" s="880"/>
      <c r="W207" s="880"/>
      <c r="X207" s="880"/>
      <c r="Y207" s="880"/>
      <c r="Z207" s="880"/>
    </row>
    <row r="208" spans="1:26" ht="19.5">
      <c r="A208" s="1076"/>
      <c r="B208" s="1083"/>
      <c r="C208" s="1088" t="s">
        <v>105</v>
      </c>
      <c r="D208" s="1077"/>
      <c r="E208" s="1077"/>
      <c r="F208" s="1102"/>
      <c r="G208" s="1079"/>
      <c r="H208" s="278" t="s">
        <v>96</v>
      </c>
      <c r="I208" s="1089">
        <f t="shared" ref="I208:J208" ca="1" si="101">I215</f>
        <v>2</v>
      </c>
      <c r="J208" s="1089">
        <f t="shared" si="101"/>
        <v>2</v>
      </c>
      <c r="K208" s="1090">
        <f t="shared" ca="1" si="100"/>
        <v>100</v>
      </c>
      <c r="L208" s="1081"/>
      <c r="M208" s="1081"/>
      <c r="N208" s="1081"/>
      <c r="O208" s="1081"/>
      <c r="P208" s="1081"/>
    </row>
    <row r="209" spans="1:26" ht="19.5">
      <c r="A209" s="997"/>
      <c r="B209" s="998"/>
      <c r="C209" s="999" t="s">
        <v>16</v>
      </c>
      <c r="D209" s="1091" t="s">
        <v>17</v>
      </c>
      <c r="E209" s="998"/>
      <c r="F209" s="998"/>
      <c r="G209" s="1001"/>
      <c r="H209" s="275" t="s">
        <v>12</v>
      </c>
      <c r="I209" s="1093"/>
      <c r="J209" s="1093"/>
      <c r="K209" s="1094"/>
      <c r="L209" s="1004">
        <f ca="1">L210+L211+L212</f>
        <v>28000</v>
      </c>
      <c r="M209" s="1004"/>
      <c r="N209" s="1004">
        <f>N210+N211+N212</f>
        <v>28000</v>
      </c>
      <c r="O209" s="1004">
        <f ca="1">IF(L209&gt;0,N209*100/L209,0)</f>
        <v>100</v>
      </c>
      <c r="P209" s="1004">
        <f>IF(M209&gt;0,N209*100/M209,0)</f>
        <v>0</v>
      </c>
      <c r="Q209" s="880"/>
      <c r="R209" s="880"/>
      <c r="S209" s="880"/>
      <c r="T209" s="880"/>
      <c r="U209" s="880"/>
      <c r="V209" s="880"/>
      <c r="W209" s="880"/>
      <c r="X209" s="880"/>
      <c r="Y209" s="880"/>
      <c r="Z209" s="880"/>
    </row>
    <row r="210" spans="1:26" ht="18.75">
      <c r="A210" s="1007"/>
      <c r="B210" s="1095"/>
      <c r="C210" s="889"/>
      <c r="D210" s="1008" t="s">
        <v>97</v>
      </c>
      <c r="E210" s="889"/>
      <c r="F210" s="889"/>
      <c r="G210" s="891"/>
      <c r="H210" s="161" t="s">
        <v>12</v>
      </c>
      <c r="I210" s="1009"/>
      <c r="J210" s="1009"/>
      <c r="K210" s="1010"/>
      <c r="L210" s="893">
        <f ca="1">IFERROR(__xludf.DUMMYFUNCTION("IMPORTRANGE(""https://docs.google.com/spreadsheets/d/1QqKyyYR6Q21VydFLVH3TRQUabQu_ym0Zz7PgGX0-kHA/edit?usp=sharing"",""แผน!AK51"")"),2000)</f>
        <v>2000</v>
      </c>
      <c r="M210" s="893"/>
      <c r="N210" s="1096">
        <v>2000</v>
      </c>
      <c r="O210" s="893"/>
      <c r="P210" s="893"/>
      <c r="Q210" s="880"/>
      <c r="R210" s="880"/>
      <c r="S210" s="880"/>
      <c r="T210" s="880"/>
      <c r="U210" s="880"/>
      <c r="V210" s="880"/>
      <c r="W210" s="880"/>
      <c r="X210" s="880"/>
      <c r="Y210" s="880"/>
      <c r="Z210" s="880"/>
    </row>
    <row r="211" spans="1:26" ht="19.5">
      <c r="A211" s="1097"/>
      <c r="B211" s="1095"/>
      <c r="C211" s="1103"/>
      <c r="D211" s="1008" t="s">
        <v>99</v>
      </c>
      <c r="E211" s="889"/>
      <c r="F211" s="889"/>
      <c r="G211" s="891"/>
      <c r="H211" s="161" t="s">
        <v>12</v>
      </c>
      <c r="I211" s="892"/>
      <c r="J211" s="892"/>
      <c r="K211" s="893"/>
      <c r="L211" s="893">
        <f ca="1">IFERROR(__xludf.DUMMYFUNCTION("IMPORTRANGE(""https://docs.google.com/spreadsheets/d/1QqKyyYR6Q21VydFLVH3TRQUabQu_ym0Zz7PgGX0-kHA/edit?usp=sharing"",""แผน!AL51"")"),10000)</f>
        <v>10000</v>
      </c>
      <c r="M211" s="893"/>
      <c r="N211" s="1096">
        <v>10000</v>
      </c>
      <c r="O211" s="893"/>
      <c r="P211" s="893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</row>
    <row r="212" spans="1:26" ht="19.5">
      <c r="A212" s="1097"/>
      <c r="B212" s="1095"/>
      <c r="C212" s="1103"/>
      <c r="D212" s="1008" t="s">
        <v>98</v>
      </c>
      <c r="E212" s="889"/>
      <c r="F212" s="889"/>
      <c r="G212" s="891"/>
      <c r="H212" s="161" t="s">
        <v>12</v>
      </c>
      <c r="I212" s="892"/>
      <c r="J212" s="892"/>
      <c r="K212" s="893"/>
      <c r="L212" s="893">
        <f ca="1">IFERROR(__xludf.DUMMYFUNCTION("IMPORTRANGE(""https://docs.google.com/spreadsheets/d/1QqKyyYR6Q21VydFLVH3TRQUabQu_ym0Zz7PgGX0-kHA/edit?usp=sharing"",""แผน!AM51"")"),16000)</f>
        <v>16000</v>
      </c>
      <c r="M212" s="893"/>
      <c r="N212" s="1096">
        <v>16000</v>
      </c>
      <c r="O212" s="893"/>
      <c r="P212" s="893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</row>
    <row r="213" spans="1:26" ht="19.5">
      <c r="A213" s="1014"/>
      <c r="B213" s="1015"/>
      <c r="C213" s="1103" t="s">
        <v>16</v>
      </c>
      <c r="D213" s="1016" t="s">
        <v>38</v>
      </c>
      <c r="E213" s="1017"/>
      <c r="F213" s="1017"/>
      <c r="G213" s="1018"/>
      <c r="H213" s="1019"/>
      <c r="I213" s="1009"/>
      <c r="J213" s="892"/>
      <c r="K213" s="893"/>
      <c r="L213" s="893"/>
      <c r="M213" s="893"/>
      <c r="N213" s="893"/>
      <c r="O213" s="1010"/>
      <c r="P213" s="1010"/>
      <c r="Q213" s="880"/>
      <c r="R213" s="880"/>
      <c r="S213" s="880"/>
      <c r="T213" s="880"/>
      <c r="U213" s="880"/>
      <c r="V213" s="880"/>
      <c r="W213" s="880"/>
      <c r="X213" s="880"/>
      <c r="Y213" s="880"/>
      <c r="Z213" s="880"/>
    </row>
    <row r="214" spans="1:26" ht="18.75">
      <c r="A214" s="1014"/>
      <c r="B214" s="1015"/>
      <c r="C214" s="1015"/>
      <c r="D214" s="1020" t="s">
        <v>106</v>
      </c>
      <c r="E214" s="1022"/>
      <c r="F214" s="1022"/>
      <c r="G214" s="1023"/>
      <c r="H214" s="1019" t="s">
        <v>96</v>
      </c>
      <c r="I214" s="892">
        <f ca="1">IFERROR(__xludf.DUMMYFUNCTION("IMPORTRANGE(""https://docs.google.com/spreadsheets/d/1QqKyyYR6Q21VydFLVH3TRQUabQu_ym0Zz7PgGX0-kHA/edit?usp=sharing"",""แผน!AN51"")"),2)</f>
        <v>2</v>
      </c>
      <c r="J214" s="1024">
        <v>2</v>
      </c>
      <c r="K214" s="893">
        <f t="shared" ref="K214:K216" ca="1" si="102">IF(I214&gt;0,J214*100/I214,0)</f>
        <v>100</v>
      </c>
      <c r="L214" s="893"/>
      <c r="M214" s="893"/>
      <c r="N214" s="893"/>
      <c r="O214" s="893"/>
      <c r="P214" s="893"/>
      <c r="Q214" s="880"/>
      <c r="R214" s="880"/>
      <c r="S214" s="880"/>
      <c r="T214" s="880"/>
      <c r="U214" s="880"/>
      <c r="V214" s="880"/>
      <c r="W214" s="880"/>
      <c r="X214" s="880"/>
      <c r="Y214" s="880"/>
      <c r="Z214" s="880"/>
    </row>
    <row r="215" spans="1:26" ht="18.75">
      <c r="A215" s="1014"/>
      <c r="B215" s="1015"/>
      <c r="C215" s="1015"/>
      <c r="D215" s="1020" t="s">
        <v>107</v>
      </c>
      <c r="E215" s="1022"/>
      <c r="F215" s="1022"/>
      <c r="G215" s="1023"/>
      <c r="H215" s="1019" t="s">
        <v>96</v>
      </c>
      <c r="I215" s="892">
        <f ca="1">IFERROR(__xludf.DUMMYFUNCTION("IMPORTRANGE(""https://docs.google.com/spreadsheets/d/1QqKyyYR6Q21VydFLVH3TRQUabQu_ym0Zz7PgGX0-kHA/edit?usp=sharing"",""แผน!AN51"")"),2)</f>
        <v>2</v>
      </c>
      <c r="J215" s="1024">
        <v>2</v>
      </c>
      <c r="K215" s="893">
        <f t="shared" ca="1" si="102"/>
        <v>100</v>
      </c>
      <c r="L215" s="893"/>
      <c r="M215" s="893"/>
      <c r="N215" s="893"/>
      <c r="O215" s="893"/>
      <c r="P215" s="893"/>
      <c r="Q215" s="880"/>
      <c r="R215" s="880"/>
      <c r="S215" s="880"/>
      <c r="T215" s="880"/>
      <c r="U215" s="880"/>
      <c r="V215" s="880"/>
      <c r="W215" s="880"/>
      <c r="X215" s="880"/>
      <c r="Y215" s="880"/>
      <c r="Z215" s="880"/>
    </row>
    <row r="216" spans="1:26" ht="19.5">
      <c r="A216" s="1076"/>
      <c r="B216" s="1083"/>
      <c r="C216" s="1088" t="s">
        <v>108</v>
      </c>
      <c r="D216" s="1077"/>
      <c r="E216" s="1077"/>
      <c r="F216" s="1102"/>
      <c r="G216" s="1079"/>
      <c r="H216" s="260" t="s">
        <v>109</v>
      </c>
      <c r="I216" s="1089">
        <f t="shared" ref="I216:J216" ca="1" si="103">I224</f>
        <v>30000</v>
      </c>
      <c r="J216" s="1089">
        <f t="shared" si="103"/>
        <v>0</v>
      </c>
      <c r="K216" s="1090">
        <f t="shared" ca="1" si="102"/>
        <v>0</v>
      </c>
      <c r="L216" s="1081"/>
      <c r="M216" s="1081"/>
      <c r="N216" s="1081"/>
      <c r="O216" s="1081"/>
      <c r="P216" s="1081"/>
    </row>
    <row r="217" spans="1:26" ht="19.5">
      <c r="A217" s="997"/>
      <c r="B217" s="998"/>
      <c r="C217" s="999" t="s">
        <v>16</v>
      </c>
      <c r="D217" s="1091" t="s">
        <v>17</v>
      </c>
      <c r="E217" s="998"/>
      <c r="F217" s="998"/>
      <c r="G217" s="1001"/>
      <c r="H217" s="275" t="s">
        <v>12</v>
      </c>
      <c r="I217" s="1093"/>
      <c r="J217" s="1093"/>
      <c r="K217" s="1094"/>
      <c r="L217" s="1004">
        <f ca="1">L218+L219+L220</f>
        <v>13500</v>
      </c>
      <c r="M217" s="1004"/>
      <c r="N217" s="1004">
        <f>N218+N219+N220</f>
        <v>0</v>
      </c>
      <c r="O217" s="1004">
        <f ca="1">IF(L217&gt;0,N217*100/L217,0)</f>
        <v>0</v>
      </c>
      <c r="P217" s="1004">
        <f>IF(M217&gt;0,N217*100/M217,0)</f>
        <v>0</v>
      </c>
      <c r="Q217" s="880"/>
      <c r="R217" s="880"/>
      <c r="S217" s="880"/>
      <c r="T217" s="880"/>
      <c r="U217" s="880"/>
      <c r="V217" s="880"/>
      <c r="W217" s="880"/>
      <c r="X217" s="880"/>
      <c r="Y217" s="880"/>
      <c r="Z217" s="880"/>
    </row>
    <row r="218" spans="1:26" ht="18.75">
      <c r="A218" s="1007"/>
      <c r="B218" s="1095"/>
      <c r="C218" s="889"/>
      <c r="D218" s="1008" t="s">
        <v>97</v>
      </c>
      <c r="E218" s="889"/>
      <c r="F218" s="889"/>
      <c r="G218" s="891"/>
      <c r="H218" s="161" t="s">
        <v>12</v>
      </c>
      <c r="I218" s="1009"/>
      <c r="J218" s="1009"/>
      <c r="K218" s="1010"/>
      <c r="L218" s="893">
        <f ca="1">IFERROR(__xludf.DUMMYFUNCTION("IMPORTRANGE(""https://docs.google.com/spreadsheets/d/1QqKyyYR6Q21VydFLVH3TRQUabQu_ym0Zz7PgGX0-kHA/edit?usp=sharing"",""แผน!AP51"")"),5000)</f>
        <v>5000</v>
      </c>
      <c r="M218" s="893"/>
      <c r="N218" s="1096">
        <v>0</v>
      </c>
      <c r="O218" s="893"/>
      <c r="P218" s="893"/>
      <c r="Q218" s="880"/>
      <c r="R218" s="880"/>
      <c r="S218" s="880"/>
      <c r="T218" s="880"/>
      <c r="U218" s="880"/>
      <c r="V218" s="880"/>
      <c r="W218" s="880"/>
      <c r="X218" s="880"/>
      <c r="Y218" s="880"/>
      <c r="Z218" s="880"/>
    </row>
    <row r="219" spans="1:26" ht="19.5">
      <c r="A219" s="1097"/>
      <c r="B219" s="1095"/>
      <c r="C219" s="1103"/>
      <c r="D219" s="1008" t="s">
        <v>110</v>
      </c>
      <c r="E219" s="889"/>
      <c r="F219" s="889"/>
      <c r="G219" s="891"/>
      <c r="H219" s="161" t="s">
        <v>12</v>
      </c>
      <c r="I219" s="892"/>
      <c r="J219" s="892"/>
      <c r="K219" s="893"/>
      <c r="L219" s="893">
        <f ca="1">IFERROR(__xludf.DUMMYFUNCTION("IMPORTRANGE(""https://docs.google.com/spreadsheets/d/1QqKyyYR6Q21VydFLVH3TRQUabQu_ym0Zz7PgGX0-kHA/edit?usp=sharing"",""แผน!AQ51"")"),8500)</f>
        <v>8500</v>
      </c>
      <c r="M219" s="893"/>
      <c r="N219" s="1096">
        <v>0</v>
      </c>
      <c r="O219" s="893"/>
      <c r="P219" s="893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</row>
    <row r="220" spans="1:26" ht="19.5">
      <c r="A220" s="1097"/>
      <c r="B220" s="1095"/>
      <c r="C220" s="1103"/>
      <c r="D220" s="1008" t="s">
        <v>98</v>
      </c>
      <c r="E220" s="889"/>
      <c r="F220" s="889"/>
      <c r="G220" s="891"/>
      <c r="H220" s="161" t="s">
        <v>12</v>
      </c>
      <c r="I220" s="892"/>
      <c r="J220" s="892"/>
      <c r="K220" s="893"/>
      <c r="L220" s="893">
        <f ca="1">IFERROR(__xludf.DUMMYFUNCTION("IMPORTRANGE(""https://docs.google.com/spreadsheets/d/1QqKyyYR6Q21VydFLVH3TRQUabQu_ym0Zz7PgGX0-kHA/edit?usp=sharing"",""แผน!AR51"")"),0)</f>
        <v>0</v>
      </c>
      <c r="M220" s="893"/>
      <c r="N220" s="1096">
        <v>0</v>
      </c>
      <c r="O220" s="893"/>
      <c r="P220" s="893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</row>
    <row r="221" spans="1:26" ht="19.5">
      <c r="A221" s="1014"/>
      <c r="B221" s="1015"/>
      <c r="C221" s="1103" t="s">
        <v>16</v>
      </c>
      <c r="D221" s="1016" t="s">
        <v>38</v>
      </c>
      <c r="E221" s="1017"/>
      <c r="F221" s="1017"/>
      <c r="G221" s="1018"/>
      <c r="H221" s="1019"/>
      <c r="I221" s="1009"/>
      <c r="J221" s="1009"/>
      <c r="K221" s="1010"/>
      <c r="L221" s="1010"/>
      <c r="M221" s="1010"/>
      <c r="N221" s="1010"/>
      <c r="O221" s="1010"/>
      <c r="P221" s="1010"/>
      <c r="Q221" s="880"/>
      <c r="R221" s="880"/>
      <c r="S221" s="880"/>
      <c r="T221" s="880"/>
      <c r="U221" s="880"/>
      <c r="V221" s="880"/>
      <c r="W221" s="880"/>
      <c r="X221" s="880"/>
      <c r="Y221" s="880"/>
      <c r="Z221" s="880"/>
    </row>
    <row r="222" spans="1:26" ht="18.75">
      <c r="A222" s="1014"/>
      <c r="B222" s="1015"/>
      <c r="C222" s="1015"/>
      <c r="D222" s="1008" t="s">
        <v>111</v>
      </c>
      <c r="E222" s="1022"/>
      <c r="F222" s="1022"/>
      <c r="G222" s="1023"/>
      <c r="H222" s="1019"/>
      <c r="I222" s="892"/>
      <c r="J222" s="892"/>
      <c r="K222" s="1010"/>
      <c r="L222" s="1010"/>
      <c r="M222" s="1010"/>
      <c r="N222" s="1010"/>
      <c r="O222" s="1010"/>
      <c r="P222" s="1010"/>
      <c r="Q222" s="880"/>
      <c r="R222" s="880"/>
      <c r="S222" s="880"/>
      <c r="T222" s="880"/>
      <c r="U222" s="880"/>
      <c r="V222" s="880"/>
      <c r="W222" s="880"/>
      <c r="X222" s="880"/>
      <c r="Y222" s="880"/>
      <c r="Z222" s="880"/>
    </row>
    <row r="223" spans="1:26" ht="18.75">
      <c r="A223" s="1014"/>
      <c r="B223" s="1015"/>
      <c r="C223" s="1015"/>
      <c r="D223" s="1015"/>
      <c r="E223" s="1020" t="s">
        <v>112</v>
      </c>
      <c r="F223" s="1022"/>
      <c r="G223" s="1023"/>
      <c r="H223" s="761" t="s">
        <v>109</v>
      </c>
      <c r="I223" s="892">
        <f ca="1">IFERROR(__xludf.DUMMYFUNCTION("IMPORTRANGE(""https://docs.google.com/spreadsheets/d/1QqKyyYR6Q21VydFLVH3TRQUabQu_ym0Zz7PgGX0-kHA/edit?usp=sharing"",""แผน!AT51"")"),30000)</f>
        <v>30000</v>
      </c>
      <c r="J223" s="1024">
        <v>30000</v>
      </c>
      <c r="K223" s="1010">
        <f t="shared" ref="K223:K226" ca="1" si="104">IF(I223&gt;0,J223*100/I223,0)</f>
        <v>100</v>
      </c>
      <c r="L223" s="1010"/>
      <c r="M223" s="1010"/>
      <c r="N223" s="1010"/>
      <c r="O223" s="1010"/>
      <c r="P223" s="1010"/>
      <c r="Q223" s="880"/>
      <c r="R223" s="880"/>
      <c r="S223" s="880"/>
      <c r="T223" s="880"/>
      <c r="U223" s="880"/>
      <c r="V223" s="880"/>
      <c r="W223" s="880"/>
      <c r="X223" s="880"/>
      <c r="Y223" s="880"/>
      <c r="Z223" s="880"/>
    </row>
    <row r="224" spans="1:26" ht="18.75">
      <c r="A224" s="1014"/>
      <c r="B224" s="1015"/>
      <c r="C224" s="1015"/>
      <c r="D224" s="1015"/>
      <c r="E224" s="1020" t="s">
        <v>113</v>
      </c>
      <c r="F224" s="1022"/>
      <c r="G224" s="1023"/>
      <c r="H224" s="761" t="s">
        <v>109</v>
      </c>
      <c r="I224" s="892">
        <f ca="1">IFERROR(__xludf.DUMMYFUNCTION("IMPORTRANGE(""https://docs.google.com/spreadsheets/d/1QqKyyYR6Q21VydFLVH3TRQUabQu_ym0Zz7PgGX0-kHA/edit?usp=sharing"",""แผน!AT51"")"),30000)</f>
        <v>30000</v>
      </c>
      <c r="J224" s="1024">
        <v>0</v>
      </c>
      <c r="K224" s="1010">
        <f t="shared" ca="1" si="104"/>
        <v>0</v>
      </c>
      <c r="L224" s="893"/>
      <c r="M224" s="893"/>
      <c r="N224" s="893"/>
      <c r="O224" s="893"/>
      <c r="P224" s="893"/>
      <c r="Q224" s="880"/>
      <c r="R224" s="880"/>
      <c r="S224" s="880"/>
      <c r="T224" s="880"/>
      <c r="U224" s="880"/>
      <c r="V224" s="880"/>
      <c r="W224" s="880"/>
      <c r="X224" s="880"/>
      <c r="Y224" s="880"/>
      <c r="Z224" s="880"/>
    </row>
    <row r="225" spans="1:26" ht="18.75">
      <c r="A225" s="1014"/>
      <c r="B225" s="1015"/>
      <c r="C225" s="1015"/>
      <c r="D225" s="1008" t="s">
        <v>114</v>
      </c>
      <c r="E225" s="1022"/>
      <c r="F225" s="1022"/>
      <c r="G225" s="1023"/>
      <c r="H225" s="761" t="s">
        <v>35</v>
      </c>
      <c r="I225" s="892">
        <f ca="1">IFERROR(__xludf.DUMMYFUNCTION("IMPORTRANGE(""https://docs.google.com/spreadsheets/d/1QqKyyYR6Q21VydFLVH3TRQUabQu_ym0Zz7PgGX0-kHA/edit?usp=sharing"",""แผน!AS51"")"),0)</f>
        <v>0</v>
      </c>
      <c r="J225" s="1024">
        <v>0</v>
      </c>
      <c r="K225" s="1010">
        <f t="shared" ca="1" si="104"/>
        <v>0</v>
      </c>
      <c r="L225" s="893"/>
      <c r="M225" s="893"/>
      <c r="N225" s="893"/>
      <c r="O225" s="893"/>
      <c r="P225" s="893"/>
      <c r="Q225" s="880"/>
      <c r="R225" s="880"/>
      <c r="S225" s="880"/>
      <c r="T225" s="880"/>
      <c r="U225" s="880"/>
      <c r="V225" s="880"/>
      <c r="W225" s="880"/>
      <c r="X225" s="880"/>
      <c r="Y225" s="880"/>
      <c r="Z225" s="880"/>
    </row>
    <row r="226" spans="1:26" ht="19.5" hidden="1">
      <c r="A226" s="1076"/>
      <c r="B226" s="1083"/>
      <c r="C226" s="1104" t="s">
        <v>120</v>
      </c>
      <c r="D226" s="1077"/>
      <c r="E226" s="1077"/>
      <c r="F226" s="1077"/>
      <c r="G226" s="1079"/>
      <c r="H226" s="266" t="s">
        <v>35</v>
      </c>
      <c r="I226" s="1105">
        <f t="shared" ref="I226:J226" ca="1" si="105">I237+I248</f>
        <v>40</v>
      </c>
      <c r="J226" s="1105">
        <f t="shared" si="105"/>
        <v>40</v>
      </c>
      <c r="K226" s="1106">
        <f t="shared" ca="1" si="104"/>
        <v>100</v>
      </c>
      <c r="L226" s="1081"/>
      <c r="M226" s="1081"/>
      <c r="N226" s="1081"/>
      <c r="O226" s="1081"/>
      <c r="P226" s="1081"/>
    </row>
    <row r="227" spans="1:26" ht="19.5" hidden="1">
      <c r="A227" s="1107"/>
      <c r="B227" s="1108"/>
      <c r="C227" s="1109" t="s">
        <v>16</v>
      </c>
      <c r="D227" s="1110" t="s">
        <v>17</v>
      </c>
      <c r="E227" s="1108"/>
      <c r="F227" s="1108"/>
      <c r="G227" s="1111"/>
      <c r="H227" s="353" t="s">
        <v>12</v>
      </c>
      <c r="I227" s="1112"/>
      <c r="J227" s="1112"/>
      <c r="K227" s="1113"/>
      <c r="L227" s="1114">
        <f t="shared" ref="L227:L231" ca="1" si="106">L238+L249</f>
        <v>217400</v>
      </c>
      <c r="M227" s="1114"/>
      <c r="N227" s="1114">
        <f t="shared" ref="N227:N231" si="107">N238+N249</f>
        <v>66000</v>
      </c>
      <c r="O227" s="1115"/>
      <c r="P227" s="1115"/>
      <c r="Q227" s="887"/>
      <c r="R227" s="887"/>
      <c r="S227" s="887"/>
      <c r="T227" s="887"/>
      <c r="U227" s="887"/>
      <c r="V227" s="887"/>
      <c r="W227" s="887"/>
      <c r="X227" s="887"/>
      <c r="Y227" s="887"/>
      <c r="Z227" s="887"/>
    </row>
    <row r="228" spans="1:26" ht="18.75" hidden="1">
      <c r="A228" s="1005"/>
      <c r="B228" s="1116"/>
      <c r="C228" s="895"/>
      <c r="D228" s="896" t="s">
        <v>97</v>
      </c>
      <c r="E228" s="895"/>
      <c r="F228" s="895"/>
      <c r="G228" s="897"/>
      <c r="H228" s="165" t="s">
        <v>12</v>
      </c>
      <c r="I228" s="1012"/>
      <c r="J228" s="1012"/>
      <c r="K228" s="1013"/>
      <c r="L228" s="899">
        <f t="shared" ca="1" si="106"/>
        <v>163000</v>
      </c>
      <c r="M228" s="899"/>
      <c r="N228" s="899">
        <f t="shared" si="107"/>
        <v>22000</v>
      </c>
      <c r="O228" s="899"/>
      <c r="P228" s="899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</row>
    <row r="229" spans="1:26" ht="19.5" hidden="1">
      <c r="A229" s="1117"/>
      <c r="B229" s="1116"/>
      <c r="C229" s="1118"/>
      <c r="D229" s="896" t="s">
        <v>98</v>
      </c>
      <c r="E229" s="895"/>
      <c r="F229" s="895"/>
      <c r="G229" s="897"/>
      <c r="H229" s="165" t="s">
        <v>12</v>
      </c>
      <c r="I229" s="898"/>
      <c r="J229" s="898"/>
      <c r="K229" s="899"/>
      <c r="L229" s="899">
        <f t="shared" ca="1" si="106"/>
        <v>44400</v>
      </c>
      <c r="M229" s="899"/>
      <c r="N229" s="899">
        <f t="shared" si="107"/>
        <v>44000</v>
      </c>
      <c r="O229" s="899"/>
      <c r="P229" s="89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96" t="s">
        <v>116</v>
      </c>
      <c r="E230" s="895"/>
      <c r="F230" s="895"/>
      <c r="G230" s="897"/>
      <c r="H230" s="165" t="s">
        <v>12</v>
      </c>
      <c r="I230" s="898"/>
      <c r="J230" s="898"/>
      <c r="K230" s="899"/>
      <c r="L230" s="899">
        <f t="shared" ca="1" si="106"/>
        <v>0</v>
      </c>
      <c r="M230" s="899"/>
      <c r="N230" s="899">
        <f t="shared" si="107"/>
        <v>0</v>
      </c>
      <c r="O230" s="899"/>
      <c r="P230" s="89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96" t="s">
        <v>100</v>
      </c>
      <c r="E231" s="895"/>
      <c r="F231" s="895"/>
      <c r="G231" s="897"/>
      <c r="H231" s="165" t="s">
        <v>12</v>
      </c>
      <c r="I231" s="898"/>
      <c r="J231" s="898"/>
      <c r="K231" s="899"/>
      <c r="L231" s="899">
        <f t="shared" ca="1" si="106"/>
        <v>10000</v>
      </c>
      <c r="M231" s="899"/>
      <c r="N231" s="899">
        <f t="shared" si="107"/>
        <v>0</v>
      </c>
      <c r="O231" s="899"/>
      <c r="P231" s="89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85" t="s">
        <v>38</v>
      </c>
      <c r="E232" s="1122"/>
      <c r="F232" s="1122"/>
      <c r="G232" s="1123"/>
      <c r="H232" s="1124"/>
      <c r="I232" s="1012"/>
      <c r="J232" s="898"/>
      <c r="K232" s="899"/>
      <c r="L232" s="899"/>
      <c r="M232" s="899"/>
      <c r="N232" s="899"/>
      <c r="O232" s="1013"/>
      <c r="P232" s="1013"/>
      <c r="Q232" s="887"/>
      <c r="R232" s="887"/>
      <c r="S232" s="887"/>
      <c r="T232" s="887"/>
      <c r="U232" s="887"/>
      <c r="V232" s="887"/>
      <c r="W232" s="887"/>
      <c r="X232" s="887"/>
      <c r="Y232" s="887"/>
      <c r="Z232" s="887"/>
    </row>
    <row r="233" spans="1:26" ht="18.75" hidden="1">
      <c r="A233" s="1120"/>
      <c r="B233" s="1121"/>
      <c r="C233" s="1121"/>
      <c r="D233" s="1087" t="s">
        <v>117</v>
      </c>
      <c r="E233" s="1125"/>
      <c r="F233" s="1125"/>
      <c r="G233" s="1126"/>
      <c r="H233" s="370" t="s">
        <v>35</v>
      </c>
      <c r="I233" s="898">
        <f t="shared" ref="I233:J233" ca="1" si="108">I244+I255</f>
        <v>40</v>
      </c>
      <c r="J233" s="898">
        <f t="shared" si="108"/>
        <v>40</v>
      </c>
      <c r="K233" s="899">
        <f ca="1">IF(I233&gt;0,J233*100/I233,0)</f>
        <v>100</v>
      </c>
      <c r="L233" s="899"/>
      <c r="M233" s="899"/>
      <c r="N233" s="899"/>
      <c r="O233" s="899"/>
      <c r="P233" s="899"/>
      <c r="Q233" s="887"/>
      <c r="R233" s="887"/>
      <c r="S233" s="887"/>
      <c r="T233" s="887"/>
      <c r="U233" s="887"/>
      <c r="V233" s="887"/>
      <c r="W233" s="887"/>
      <c r="X233" s="887"/>
      <c r="Y233" s="887"/>
      <c r="Z233" s="887"/>
    </row>
    <row r="234" spans="1:26" ht="18.75" hidden="1">
      <c r="A234" s="1120"/>
      <c r="B234" s="1121"/>
      <c r="C234" s="1121"/>
      <c r="D234" s="1127" t="s">
        <v>43</v>
      </c>
      <c r="E234" s="1125"/>
      <c r="F234" s="1125"/>
      <c r="G234" s="1126"/>
      <c r="H234" s="370"/>
      <c r="I234" s="898"/>
      <c r="J234" s="898"/>
      <c r="K234" s="899"/>
      <c r="L234" s="899"/>
      <c r="M234" s="899"/>
      <c r="N234" s="899"/>
      <c r="O234" s="1013"/>
      <c r="P234" s="1013"/>
      <c r="Q234" s="887"/>
      <c r="R234" s="887"/>
      <c r="S234" s="887"/>
      <c r="T234" s="887"/>
      <c r="U234" s="887"/>
      <c r="V234" s="887"/>
      <c r="W234" s="887"/>
      <c r="X234" s="887"/>
      <c r="Y234" s="887"/>
      <c r="Z234" s="887"/>
    </row>
    <row r="235" spans="1:26" ht="18.75" hidden="1">
      <c r="A235" s="1120"/>
      <c r="B235" s="1121"/>
      <c r="C235" s="1121"/>
      <c r="D235" s="1121"/>
      <c r="E235" s="1086" t="s">
        <v>118</v>
      </c>
      <c r="F235" s="1125"/>
      <c r="G235" s="1126"/>
      <c r="H235" s="370" t="s">
        <v>35</v>
      </c>
      <c r="I235" s="898">
        <f t="shared" ref="I235:J236" si="109">I246+I257</f>
        <v>0</v>
      </c>
      <c r="J235" s="898">
        <f t="shared" si="109"/>
        <v>0</v>
      </c>
      <c r="K235" s="899">
        <f t="shared" ref="K235:K237" si="110">IF(I235&gt;0,J235*100/I235,0)</f>
        <v>0</v>
      </c>
      <c r="L235" s="899"/>
      <c r="M235" s="899"/>
      <c r="N235" s="899"/>
      <c r="O235" s="899"/>
      <c r="P235" s="899"/>
      <c r="Q235" s="887"/>
      <c r="R235" s="887"/>
      <c r="S235" s="887"/>
      <c r="T235" s="887"/>
      <c r="U235" s="887"/>
      <c r="V235" s="887"/>
      <c r="W235" s="887"/>
      <c r="X235" s="887"/>
      <c r="Y235" s="887"/>
      <c r="Z235" s="887"/>
    </row>
    <row r="236" spans="1:26" ht="18.75" hidden="1">
      <c r="A236" s="1120"/>
      <c r="B236" s="1121"/>
      <c r="C236" s="1121"/>
      <c r="D236" s="1121"/>
      <c r="E236" s="1086" t="s">
        <v>119</v>
      </c>
      <c r="F236" s="1125"/>
      <c r="G236" s="1126"/>
      <c r="H236" s="370" t="s">
        <v>66</v>
      </c>
      <c r="I236" s="898">
        <f t="shared" si="109"/>
        <v>1</v>
      </c>
      <c r="J236" s="898">
        <f t="shared" si="109"/>
        <v>1</v>
      </c>
      <c r="K236" s="899">
        <f t="shared" si="110"/>
        <v>100</v>
      </c>
      <c r="L236" s="899"/>
      <c r="M236" s="899"/>
      <c r="N236" s="899"/>
      <c r="O236" s="899"/>
      <c r="P236" s="899"/>
      <c r="Q236" s="887"/>
      <c r="R236" s="887"/>
      <c r="S236" s="887"/>
      <c r="T236" s="887"/>
      <c r="U236" s="887"/>
      <c r="V236" s="887"/>
      <c r="W236" s="887"/>
      <c r="X236" s="887"/>
      <c r="Y236" s="887"/>
      <c r="Z236" s="887"/>
    </row>
    <row r="237" spans="1:26" ht="19.5">
      <c r="A237" s="1076"/>
      <c r="B237" s="1083"/>
      <c r="C237" s="1088" t="s">
        <v>359</v>
      </c>
      <c r="D237" s="1077"/>
      <c r="E237" s="1077"/>
      <c r="F237" s="1077"/>
      <c r="G237" s="1079"/>
      <c r="H237" s="260" t="s">
        <v>35</v>
      </c>
      <c r="I237" s="1089">
        <f t="shared" ref="I237:J237" ca="1" si="111">I244</f>
        <v>40</v>
      </c>
      <c r="J237" s="1089">
        <f t="shared" si="111"/>
        <v>40</v>
      </c>
      <c r="K237" s="1090">
        <f t="shared" ca="1" si="110"/>
        <v>100</v>
      </c>
      <c r="L237" s="1081"/>
      <c r="M237" s="1081"/>
      <c r="N237" s="1081"/>
      <c r="O237" s="1081"/>
      <c r="P237" s="1081"/>
    </row>
    <row r="238" spans="1:26" ht="19.5">
      <c r="A238" s="997"/>
      <c r="B238" s="998"/>
      <c r="C238" s="999" t="s">
        <v>16</v>
      </c>
      <c r="D238" s="1000" t="s">
        <v>17</v>
      </c>
      <c r="E238" s="998"/>
      <c r="F238" s="998"/>
      <c r="G238" s="1001"/>
      <c r="H238" s="275" t="s">
        <v>12</v>
      </c>
      <c r="I238" s="1093"/>
      <c r="J238" s="1093"/>
      <c r="K238" s="1094"/>
      <c r="L238" s="1004">
        <f ca="1">L239+L240+L241+L242</f>
        <v>217400</v>
      </c>
      <c r="M238" s="1004"/>
      <c r="N238" s="1004">
        <f>N239+N240+N241+N242</f>
        <v>66000</v>
      </c>
      <c r="O238" s="1004">
        <f ca="1">IF(L238&gt;0,N238*100/L238,0)</f>
        <v>30.358785648574056</v>
      </c>
      <c r="P238" s="1004">
        <f>IF(M238&gt;0,N238*100/M238,0)</f>
        <v>0</v>
      </c>
      <c r="Q238" s="880"/>
      <c r="R238" s="880"/>
      <c r="S238" s="880"/>
      <c r="T238" s="880"/>
      <c r="U238" s="880"/>
      <c r="V238" s="880"/>
      <c r="W238" s="880"/>
      <c r="X238" s="880"/>
      <c r="Y238" s="880"/>
      <c r="Z238" s="880"/>
    </row>
    <row r="239" spans="1:26" ht="18.75">
      <c r="A239" s="1128"/>
      <c r="B239" s="1129"/>
      <c r="C239" s="1130"/>
      <c r="D239" s="1131" t="s">
        <v>97</v>
      </c>
      <c r="E239" s="1130"/>
      <c r="F239" s="1130"/>
      <c r="G239" s="1132"/>
      <c r="H239" s="319" t="s">
        <v>12</v>
      </c>
      <c r="I239" s="1133"/>
      <c r="J239" s="1133"/>
      <c r="K239" s="1134"/>
      <c r="L239" s="1135">
        <f ca="1">IFERROR(__xludf.DUMMYFUNCTION("IMPORTRANGE(""https://docs.google.com/spreadsheets/d/1QqKyyYR6Q21VydFLVH3TRQUabQu_ym0Zz7PgGX0-kHA/edit?usp=sharing"",""แผน!AV51"")"),163000)</f>
        <v>163000</v>
      </c>
      <c r="M239" s="1135"/>
      <c r="N239" s="1136">
        <v>22000</v>
      </c>
      <c r="O239" s="1135"/>
      <c r="P239" s="1135"/>
      <c r="Q239" s="1137"/>
      <c r="R239" s="1137"/>
      <c r="S239" s="1137"/>
      <c r="T239" s="1137"/>
      <c r="U239" s="1137"/>
      <c r="V239" s="1137"/>
      <c r="W239" s="1137"/>
      <c r="X239" s="1137"/>
      <c r="Y239" s="1137"/>
      <c r="Z239" s="1137"/>
    </row>
    <row r="240" spans="1:26" ht="19.5">
      <c r="A240" s="1138"/>
      <c r="B240" s="1129"/>
      <c r="C240" s="1139"/>
      <c r="D240" s="1131" t="s">
        <v>98</v>
      </c>
      <c r="E240" s="1130"/>
      <c r="F240" s="1130"/>
      <c r="G240" s="1132"/>
      <c r="H240" s="319" t="s">
        <v>12</v>
      </c>
      <c r="I240" s="1140"/>
      <c r="J240" s="1140"/>
      <c r="K240" s="1135"/>
      <c r="L240" s="1135">
        <f ca="1">IFERROR(__xludf.DUMMYFUNCTION("IMPORTRANGE(""https://docs.google.com/spreadsheets/d/1QqKyyYR6Q21VydFLVH3TRQUabQu_ym0Zz7PgGX0-kHA/edit?usp=sharing"",""แผน!AW51"")"),44400)</f>
        <v>44400</v>
      </c>
      <c r="M240" s="1135"/>
      <c r="N240" s="1136">
        <v>44000</v>
      </c>
      <c r="O240" s="1135"/>
      <c r="P240" s="1135"/>
      <c r="Q240" s="1141"/>
      <c r="R240" s="1141"/>
      <c r="S240" s="1141"/>
      <c r="T240" s="1141"/>
      <c r="U240" s="1141"/>
      <c r="V240" s="1141"/>
      <c r="W240" s="1141"/>
      <c r="X240" s="1141"/>
      <c r="Y240" s="1141"/>
      <c r="Z240" s="1141"/>
    </row>
    <row r="241" spans="1:26" ht="19.5">
      <c r="A241" s="1138"/>
      <c r="B241" s="1129"/>
      <c r="C241" s="1139"/>
      <c r="D241" s="1131" t="s">
        <v>116</v>
      </c>
      <c r="E241" s="1130"/>
      <c r="F241" s="1130"/>
      <c r="G241" s="1132"/>
      <c r="H241" s="319" t="s">
        <v>12</v>
      </c>
      <c r="I241" s="1140"/>
      <c r="J241" s="1140"/>
      <c r="K241" s="1135"/>
      <c r="L241" s="1135">
        <f ca="1">IFERROR(__xludf.DUMMYFUNCTION("IMPORTRANGE(""https://docs.google.com/spreadsheets/d/1QqKyyYR6Q21VydFLVH3TRQUabQu_ym0Zz7PgGX0-kHA/edit?usp=sharing"",""แผน!AX51"")"),0)</f>
        <v>0</v>
      </c>
      <c r="M241" s="1135"/>
      <c r="N241" s="1136">
        <v>0</v>
      </c>
      <c r="O241" s="1135"/>
      <c r="P241" s="1135"/>
      <c r="Q241" s="1141"/>
      <c r="R241" s="1141"/>
      <c r="S241" s="1141"/>
      <c r="T241" s="1141"/>
      <c r="U241" s="1141"/>
      <c r="V241" s="1141"/>
      <c r="W241" s="1141"/>
      <c r="X241" s="1141"/>
      <c r="Y241" s="1141"/>
      <c r="Z241" s="1141"/>
    </row>
    <row r="242" spans="1:26" ht="19.5">
      <c r="A242" s="1138"/>
      <c r="B242" s="1129"/>
      <c r="C242" s="1139"/>
      <c r="D242" s="1131" t="s">
        <v>100</v>
      </c>
      <c r="E242" s="1130"/>
      <c r="F242" s="1130"/>
      <c r="G242" s="1132"/>
      <c r="H242" s="319" t="s">
        <v>12</v>
      </c>
      <c r="I242" s="1140"/>
      <c r="J242" s="1140"/>
      <c r="K242" s="1135"/>
      <c r="L242" s="1135">
        <f ca="1">IFERROR(__xludf.DUMMYFUNCTION("IMPORTRANGE(""https://docs.google.com/spreadsheets/d/1QqKyyYR6Q21VydFLVH3TRQUabQu_ym0Zz7PgGX0-kHA/edit?usp=sharing"",""แผน!AY51"")"),10000)</f>
        <v>10000</v>
      </c>
      <c r="M242" s="1135"/>
      <c r="N242" s="1136">
        <v>0</v>
      </c>
      <c r="O242" s="1135"/>
      <c r="P242" s="1135"/>
      <c r="Q242" s="1141"/>
      <c r="R242" s="1141"/>
      <c r="S242" s="1141"/>
      <c r="T242" s="1141"/>
      <c r="U242" s="1141"/>
      <c r="V242" s="1141"/>
      <c r="W242" s="1141"/>
      <c r="X242" s="1141"/>
      <c r="Y242" s="1141"/>
      <c r="Z242" s="1141"/>
    </row>
    <row r="243" spans="1:26" ht="19.5">
      <c r="A243" s="1014"/>
      <c r="B243" s="1015"/>
      <c r="C243" s="1103" t="s">
        <v>16</v>
      </c>
      <c r="D243" s="1016" t="s">
        <v>38</v>
      </c>
      <c r="E243" s="1017"/>
      <c r="F243" s="1017"/>
      <c r="G243" s="1018"/>
      <c r="H243" s="1019"/>
      <c r="I243" s="1009"/>
      <c r="J243" s="892"/>
      <c r="K243" s="893"/>
      <c r="L243" s="893"/>
      <c r="M243" s="893"/>
      <c r="N243" s="893"/>
      <c r="O243" s="1010"/>
      <c r="P243" s="1010"/>
      <c r="Q243" s="880"/>
      <c r="R243" s="880"/>
      <c r="S243" s="880"/>
      <c r="T243" s="880"/>
      <c r="U243" s="880"/>
      <c r="V243" s="880"/>
      <c r="W243" s="880"/>
      <c r="X243" s="880"/>
      <c r="Y243" s="880"/>
      <c r="Z243" s="880"/>
    </row>
    <row r="244" spans="1:26" ht="18.75">
      <c r="A244" s="1014"/>
      <c r="B244" s="1015"/>
      <c r="C244" s="1015"/>
      <c r="D244" s="1021" t="s">
        <v>117</v>
      </c>
      <c r="E244" s="1022"/>
      <c r="F244" s="1022"/>
      <c r="G244" s="1023"/>
      <c r="H244" s="761" t="s">
        <v>35</v>
      </c>
      <c r="I244" s="892">
        <f ca="1">IFERROR(__xludf.DUMMYFUNCTION("IMPORTRANGE(""https://docs.google.com/spreadsheets/d/1QqKyyYR6Q21VydFLVH3TRQUabQu_ym0Zz7PgGX0-kHA/edit?usp=sharing"",""แผน!BE51"")"),40)</f>
        <v>40</v>
      </c>
      <c r="J244" s="1024">
        <v>40</v>
      </c>
      <c r="K244" s="893">
        <f ca="1">IF(I244&gt;0,J244*100/I244,0)</f>
        <v>100</v>
      </c>
      <c r="L244" s="893"/>
      <c r="M244" s="893"/>
      <c r="N244" s="893"/>
      <c r="O244" s="893"/>
      <c r="P244" s="893"/>
      <c r="Q244" s="880"/>
      <c r="R244" s="880"/>
      <c r="S244" s="880"/>
      <c r="T244" s="880"/>
      <c r="U244" s="880"/>
      <c r="V244" s="880"/>
      <c r="W244" s="880"/>
      <c r="X244" s="880"/>
      <c r="Y244" s="880"/>
      <c r="Z244" s="880"/>
    </row>
    <row r="245" spans="1:26" ht="18.75">
      <c r="A245" s="1014"/>
      <c r="B245" s="1015"/>
      <c r="C245" s="1015"/>
      <c r="D245" s="1142" t="s">
        <v>43</v>
      </c>
      <c r="E245" s="1022"/>
      <c r="F245" s="1022"/>
      <c r="G245" s="1023"/>
      <c r="H245" s="761"/>
      <c r="I245" s="892"/>
      <c r="J245" s="892"/>
      <c r="K245" s="893"/>
      <c r="L245" s="893"/>
      <c r="M245" s="893"/>
      <c r="N245" s="893"/>
      <c r="O245" s="1010"/>
      <c r="P245" s="1010"/>
      <c r="Q245" s="880"/>
      <c r="R245" s="880"/>
      <c r="S245" s="880"/>
      <c r="T245" s="880"/>
      <c r="U245" s="880"/>
      <c r="V245" s="880"/>
      <c r="W245" s="880"/>
      <c r="X245" s="880"/>
      <c r="Y245" s="880"/>
      <c r="Z245" s="880"/>
    </row>
    <row r="246" spans="1:26" ht="18.75">
      <c r="A246" s="1014"/>
      <c r="B246" s="1015"/>
      <c r="C246" s="1015"/>
      <c r="D246" s="1015"/>
      <c r="E246" s="1020" t="s">
        <v>118</v>
      </c>
      <c r="F246" s="1022"/>
      <c r="G246" s="1023"/>
      <c r="H246" s="761" t="s">
        <v>35</v>
      </c>
      <c r="I246" s="892">
        <v>0</v>
      </c>
      <c r="J246" s="1024">
        <v>0</v>
      </c>
      <c r="K246" s="893">
        <f t="shared" ref="K246:K248" si="112">IF(I246&gt;0,J246*100/I246,0)</f>
        <v>0</v>
      </c>
      <c r="L246" s="893"/>
      <c r="M246" s="893"/>
      <c r="N246" s="893"/>
      <c r="O246" s="893"/>
      <c r="P246" s="893"/>
      <c r="Q246" s="880"/>
      <c r="R246" s="880"/>
      <c r="S246" s="880"/>
      <c r="T246" s="880"/>
      <c r="U246" s="880"/>
      <c r="V246" s="880"/>
      <c r="W246" s="880"/>
      <c r="X246" s="880"/>
      <c r="Y246" s="880"/>
      <c r="Z246" s="880"/>
    </row>
    <row r="247" spans="1:26" ht="18.75">
      <c r="A247" s="1014"/>
      <c r="B247" s="1015"/>
      <c r="C247" s="1015"/>
      <c r="D247" s="1015"/>
      <c r="E247" s="1020" t="s">
        <v>119</v>
      </c>
      <c r="F247" s="1022"/>
      <c r="G247" s="1023"/>
      <c r="H247" s="761" t="s">
        <v>66</v>
      </c>
      <c r="I247" s="892">
        <v>1</v>
      </c>
      <c r="J247" s="1024">
        <v>1</v>
      </c>
      <c r="K247" s="893">
        <f t="shared" si="112"/>
        <v>100</v>
      </c>
      <c r="L247" s="893"/>
      <c r="M247" s="893"/>
      <c r="N247" s="893"/>
      <c r="O247" s="893"/>
      <c r="P247" s="893"/>
      <c r="Q247" s="880"/>
      <c r="R247" s="880"/>
      <c r="S247" s="880"/>
      <c r="T247" s="880"/>
      <c r="U247" s="880"/>
      <c r="V247" s="880"/>
      <c r="W247" s="880"/>
      <c r="X247" s="880"/>
      <c r="Y247" s="880"/>
      <c r="Z247" s="880"/>
    </row>
    <row r="248" spans="1:26" ht="19.5" hidden="1">
      <c r="A248" s="1525"/>
      <c r="B248" s="1526"/>
      <c r="C248" s="1104" t="s">
        <v>360</v>
      </c>
      <c r="D248" s="1527"/>
      <c r="E248" s="1527"/>
      <c r="F248" s="1527"/>
      <c r="G248" s="1528"/>
      <c r="H248" s="266" t="s">
        <v>35</v>
      </c>
      <c r="I248" s="1105">
        <f t="shared" ref="I248:J248" ca="1" si="113">I255</f>
        <v>0</v>
      </c>
      <c r="J248" s="1105">
        <f t="shared" si="113"/>
        <v>0</v>
      </c>
      <c r="K248" s="1106">
        <f t="shared" ca="1" si="112"/>
        <v>0</v>
      </c>
      <c r="L248" s="1529"/>
      <c r="M248" s="1529"/>
      <c r="N248" s="1529"/>
      <c r="O248" s="1529"/>
      <c r="P248" s="1529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1107"/>
      <c r="B249" s="1108"/>
      <c r="C249" s="1109" t="s">
        <v>16</v>
      </c>
      <c r="D249" s="1530" t="s">
        <v>17</v>
      </c>
      <c r="E249" s="1108"/>
      <c r="F249" s="1108"/>
      <c r="G249" s="1111"/>
      <c r="H249" s="353" t="s">
        <v>12</v>
      </c>
      <c r="I249" s="1112"/>
      <c r="J249" s="1112"/>
      <c r="K249" s="1113"/>
      <c r="L249" s="1114">
        <f ca="1">L250+L251+L252+L253</f>
        <v>0</v>
      </c>
      <c r="M249" s="1114"/>
      <c r="N249" s="1114">
        <f>N250+N251+N252+N253</f>
        <v>0</v>
      </c>
      <c r="O249" s="1114">
        <f ca="1">IF(L249&gt;0,N249*100/L249,0)</f>
        <v>0</v>
      </c>
      <c r="P249" s="1114">
        <f>IF(M249&gt;0,N249*100/M249,0)</f>
        <v>0</v>
      </c>
      <c r="Q249" s="887"/>
      <c r="R249" s="887"/>
      <c r="S249" s="887"/>
      <c r="T249" s="887"/>
      <c r="U249" s="887"/>
      <c r="V249" s="887"/>
      <c r="W249" s="887"/>
      <c r="X249" s="887"/>
      <c r="Y249" s="887"/>
      <c r="Z249" s="887"/>
    </row>
    <row r="250" spans="1:26" ht="18.75" hidden="1">
      <c r="A250" s="1005"/>
      <c r="B250" s="1116"/>
      <c r="C250" s="895"/>
      <c r="D250" s="896" t="s">
        <v>97</v>
      </c>
      <c r="E250" s="895"/>
      <c r="F250" s="895"/>
      <c r="G250" s="897"/>
      <c r="H250" s="165" t="s">
        <v>12</v>
      </c>
      <c r="I250" s="1012"/>
      <c r="J250" s="1012"/>
      <c r="K250" s="1013"/>
      <c r="L250" s="899">
        <f ca="1">IFERROR(__xludf.DUMMYFUNCTION("IMPORTRANGE(""https://docs.google.com/spreadsheets/d/1QqKyyYR6Q21VydFLVH3TRQUabQu_ym0Zz7PgGX0-kHA/edit?usp=sharing"",""แผน!AZ51"")"),0)</f>
        <v>0</v>
      </c>
      <c r="M250" s="899"/>
      <c r="N250" s="1531">
        <v>0</v>
      </c>
      <c r="O250" s="899"/>
      <c r="P250" s="899"/>
      <c r="Q250" s="887"/>
      <c r="R250" s="887"/>
      <c r="S250" s="887"/>
      <c r="T250" s="887"/>
      <c r="U250" s="887"/>
      <c r="V250" s="887"/>
      <c r="W250" s="887"/>
      <c r="X250" s="887"/>
      <c r="Y250" s="887"/>
      <c r="Z250" s="887"/>
    </row>
    <row r="251" spans="1:26" ht="19.5" hidden="1">
      <c r="A251" s="1117"/>
      <c r="B251" s="1116"/>
      <c r="C251" s="1118"/>
      <c r="D251" s="896" t="s">
        <v>98</v>
      </c>
      <c r="E251" s="895"/>
      <c r="F251" s="895"/>
      <c r="G251" s="897"/>
      <c r="H251" s="165" t="s">
        <v>12</v>
      </c>
      <c r="I251" s="898"/>
      <c r="J251" s="898"/>
      <c r="K251" s="899"/>
      <c r="L251" s="899">
        <f ca="1">IFERROR(__xludf.DUMMYFUNCTION("IMPORTRANGE(""https://docs.google.com/spreadsheets/d/1QqKyyYR6Q21VydFLVH3TRQUabQu_ym0Zz7PgGX0-kHA/edit?usp=sharing"",""แผน!BA51"")"),0)</f>
        <v>0</v>
      </c>
      <c r="M251" s="899"/>
      <c r="N251" s="1531">
        <v>0</v>
      </c>
      <c r="O251" s="899"/>
      <c r="P251" s="899"/>
      <c r="Q251" s="1119"/>
      <c r="R251" s="1119"/>
      <c r="S251" s="1119"/>
      <c r="T251" s="1119"/>
      <c r="U251" s="1119"/>
      <c r="V251" s="1119"/>
      <c r="W251" s="1119"/>
      <c r="X251" s="1119"/>
      <c r="Y251" s="1119"/>
      <c r="Z251" s="1119"/>
    </row>
    <row r="252" spans="1:26" ht="19.5" hidden="1">
      <c r="A252" s="1117"/>
      <c r="B252" s="1116"/>
      <c r="C252" s="1118"/>
      <c r="D252" s="896" t="s">
        <v>116</v>
      </c>
      <c r="E252" s="895"/>
      <c r="F252" s="895"/>
      <c r="G252" s="897"/>
      <c r="H252" s="165" t="s">
        <v>12</v>
      </c>
      <c r="I252" s="898"/>
      <c r="J252" s="898"/>
      <c r="K252" s="899"/>
      <c r="L252" s="899">
        <f ca="1">IFERROR(__xludf.DUMMYFUNCTION("IMPORTRANGE(""https://docs.google.com/spreadsheets/d/1QqKyyYR6Q21VydFLVH3TRQUabQu_ym0Zz7PgGX0-kHA/edit?usp=sharing"",""แผน!BB51"")"),0)</f>
        <v>0</v>
      </c>
      <c r="M252" s="899"/>
      <c r="N252" s="1531">
        <v>0</v>
      </c>
      <c r="O252" s="899"/>
      <c r="P252" s="899"/>
      <c r="Q252" s="1119"/>
      <c r="R252" s="1119"/>
      <c r="S252" s="1119"/>
      <c r="T252" s="1119"/>
      <c r="U252" s="1119"/>
      <c r="V252" s="1119"/>
      <c r="W252" s="1119"/>
      <c r="X252" s="1119"/>
      <c r="Y252" s="1119"/>
      <c r="Z252" s="1119"/>
    </row>
    <row r="253" spans="1:26" ht="19.5" hidden="1">
      <c r="A253" s="1117"/>
      <c r="B253" s="1116"/>
      <c r="C253" s="1118"/>
      <c r="D253" s="896" t="s">
        <v>100</v>
      </c>
      <c r="E253" s="895"/>
      <c r="F253" s="895"/>
      <c r="G253" s="897"/>
      <c r="H253" s="165" t="s">
        <v>12</v>
      </c>
      <c r="I253" s="898"/>
      <c r="J253" s="898"/>
      <c r="K253" s="899"/>
      <c r="L253" s="899">
        <f ca="1">IFERROR(__xludf.DUMMYFUNCTION("IMPORTRANGE(""https://docs.google.com/spreadsheets/d/1QqKyyYR6Q21VydFLVH3TRQUabQu_ym0Zz7PgGX0-kHA/edit?usp=sharing"",""แผน!BC51"")"),0)</f>
        <v>0</v>
      </c>
      <c r="M253" s="899"/>
      <c r="N253" s="1531">
        <v>0</v>
      </c>
      <c r="O253" s="899"/>
      <c r="P253" s="899"/>
      <c r="Q253" s="1119"/>
      <c r="R253" s="1119"/>
      <c r="S253" s="1119"/>
      <c r="T253" s="1119"/>
      <c r="U253" s="1119"/>
      <c r="V253" s="1119"/>
      <c r="W253" s="1119"/>
      <c r="X253" s="1119"/>
      <c r="Y253" s="1119"/>
      <c r="Z253" s="1119"/>
    </row>
    <row r="254" spans="1:26" ht="19.5" hidden="1">
      <c r="A254" s="1120"/>
      <c r="B254" s="1121"/>
      <c r="C254" s="1118" t="s">
        <v>16</v>
      </c>
      <c r="D254" s="1085" t="s">
        <v>38</v>
      </c>
      <c r="E254" s="1122"/>
      <c r="F254" s="1122"/>
      <c r="G254" s="1123"/>
      <c r="H254" s="1124"/>
      <c r="I254" s="1012"/>
      <c r="J254" s="898"/>
      <c r="K254" s="899"/>
      <c r="L254" s="899"/>
      <c r="M254" s="899"/>
      <c r="N254" s="899"/>
      <c r="O254" s="1013"/>
      <c r="P254" s="1013"/>
      <c r="Q254" s="887"/>
      <c r="R254" s="887"/>
      <c r="S254" s="887"/>
      <c r="T254" s="887"/>
      <c r="U254" s="887"/>
      <c r="V254" s="887"/>
      <c r="W254" s="887"/>
      <c r="X254" s="887"/>
      <c r="Y254" s="887"/>
      <c r="Z254" s="887"/>
    </row>
    <row r="255" spans="1:26" ht="18.75" hidden="1">
      <c r="A255" s="1120"/>
      <c r="B255" s="1121"/>
      <c r="C255" s="1121"/>
      <c r="D255" s="1087" t="s">
        <v>117</v>
      </c>
      <c r="E255" s="1125"/>
      <c r="F255" s="1125"/>
      <c r="G255" s="1126"/>
      <c r="H255" s="370" t="s">
        <v>35</v>
      </c>
      <c r="I255" s="898">
        <f ca="1">IFERROR(__xludf.DUMMYFUNCTION("IMPORTRANGE(""https://docs.google.com/spreadsheets/d/1QqKyyYR6Q21VydFLVH3TRQUabQu_ym0Zz7PgGX0-kHA/edit?usp=sharing"",""แผน!BF51"")"),0)</f>
        <v>0</v>
      </c>
      <c r="J255" s="1532">
        <v>0</v>
      </c>
      <c r="K255" s="899">
        <f ca="1">IF(I255&gt;0,J255*100/I255,0)</f>
        <v>0</v>
      </c>
      <c r="L255" s="899"/>
      <c r="M255" s="899"/>
      <c r="N255" s="899"/>
      <c r="O255" s="899"/>
      <c r="P255" s="899"/>
      <c r="Q255" s="887"/>
      <c r="R255" s="887"/>
      <c r="S255" s="887"/>
      <c r="T255" s="887"/>
      <c r="U255" s="887"/>
      <c r="V255" s="887"/>
      <c r="W255" s="887"/>
      <c r="X255" s="887"/>
      <c r="Y255" s="887"/>
      <c r="Z255" s="887"/>
    </row>
    <row r="256" spans="1:26" ht="18.75" hidden="1">
      <c r="A256" s="1120"/>
      <c r="B256" s="1121"/>
      <c r="C256" s="1121"/>
      <c r="D256" s="1127" t="s">
        <v>43</v>
      </c>
      <c r="E256" s="1125"/>
      <c r="F256" s="1125"/>
      <c r="G256" s="1126"/>
      <c r="H256" s="370"/>
      <c r="I256" s="898"/>
      <c r="J256" s="898"/>
      <c r="K256" s="899"/>
      <c r="L256" s="899"/>
      <c r="M256" s="899"/>
      <c r="N256" s="899"/>
      <c r="O256" s="1013"/>
      <c r="P256" s="1013"/>
      <c r="Q256" s="887"/>
      <c r="R256" s="887"/>
      <c r="S256" s="887"/>
      <c r="T256" s="887"/>
      <c r="U256" s="887"/>
      <c r="V256" s="887"/>
      <c r="W256" s="887"/>
      <c r="X256" s="887"/>
      <c r="Y256" s="887"/>
      <c r="Z256" s="887"/>
    </row>
    <row r="257" spans="1:26" ht="18.75" hidden="1">
      <c r="A257" s="1120"/>
      <c r="B257" s="1121"/>
      <c r="C257" s="1121"/>
      <c r="D257" s="1121"/>
      <c r="E257" s="1086" t="s">
        <v>118</v>
      </c>
      <c r="F257" s="1125"/>
      <c r="G257" s="1126"/>
      <c r="H257" s="370" t="s">
        <v>35</v>
      </c>
      <c r="I257" s="898"/>
      <c r="J257" s="1532">
        <v>0</v>
      </c>
      <c r="K257" s="899">
        <f t="shared" ref="K257:K258" si="114">IF(I257&gt;0,J257*100/I257,0)</f>
        <v>0</v>
      </c>
      <c r="L257" s="899"/>
      <c r="M257" s="899"/>
      <c r="N257" s="899"/>
      <c r="O257" s="899"/>
      <c r="P257" s="899"/>
      <c r="Q257" s="887"/>
      <c r="R257" s="887"/>
      <c r="S257" s="887"/>
      <c r="T257" s="887"/>
      <c r="U257" s="887"/>
      <c r="V257" s="887"/>
      <c r="W257" s="887"/>
      <c r="X257" s="887"/>
      <c r="Y257" s="887"/>
      <c r="Z257" s="887"/>
    </row>
    <row r="258" spans="1:26" ht="18.75" hidden="1">
      <c r="A258" s="1120"/>
      <c r="B258" s="1121"/>
      <c r="C258" s="1121"/>
      <c r="D258" s="1121"/>
      <c r="E258" s="1086" t="s">
        <v>119</v>
      </c>
      <c r="F258" s="1125"/>
      <c r="G258" s="1126"/>
      <c r="H258" s="370" t="s">
        <v>66</v>
      </c>
      <c r="I258" s="898"/>
      <c r="J258" s="1532">
        <v>0</v>
      </c>
      <c r="K258" s="899">
        <f t="shared" si="114"/>
        <v>0</v>
      </c>
      <c r="L258" s="899"/>
      <c r="M258" s="899"/>
      <c r="N258" s="899"/>
      <c r="O258" s="899"/>
      <c r="P258" s="899"/>
      <c r="Q258" s="887"/>
      <c r="R258" s="887"/>
      <c r="S258" s="887"/>
      <c r="T258" s="887"/>
      <c r="U258" s="887"/>
      <c r="V258" s="887"/>
      <c r="W258" s="887"/>
      <c r="X258" s="887"/>
      <c r="Y258" s="887"/>
      <c r="Z258" s="887"/>
    </row>
    <row r="259" spans="1:26" ht="19.5">
      <c r="A259" s="1063" t="s">
        <v>122</v>
      </c>
      <c r="B259" s="1064"/>
      <c r="C259" s="1064"/>
      <c r="D259" s="1065"/>
      <c r="E259" s="1065"/>
      <c r="F259" s="1065"/>
      <c r="G259" s="1066"/>
      <c r="H259" s="1067"/>
      <c r="I259" s="1068"/>
      <c r="J259" s="1068"/>
      <c r="K259" s="1069"/>
      <c r="L259" s="1069"/>
      <c r="M259" s="1069"/>
      <c r="N259" s="1069"/>
      <c r="O259" s="1069"/>
      <c r="P259" s="1069"/>
    </row>
    <row r="260" spans="1:26" ht="19.5">
      <c r="A260" s="1070"/>
      <c r="B260" s="1071" t="s">
        <v>123</v>
      </c>
      <c r="C260" s="1072"/>
      <c r="D260" s="1017"/>
      <c r="E260" s="1017"/>
      <c r="F260" s="1017"/>
      <c r="G260" s="1018"/>
      <c r="H260" s="252" t="s">
        <v>35</v>
      </c>
      <c r="I260" s="1073">
        <f t="shared" ref="I260:J260" ca="1" si="115">I271</f>
        <v>24</v>
      </c>
      <c r="J260" s="1073">
        <f t="shared" si="115"/>
        <v>24</v>
      </c>
      <c r="K260" s="1074">
        <f ca="1">IF(I260&gt;0,J260*100/I260,0)</f>
        <v>100</v>
      </c>
      <c r="L260" s="1075"/>
      <c r="M260" s="1075"/>
      <c r="N260" s="1075"/>
      <c r="O260" s="1075"/>
      <c r="P260" s="1075"/>
    </row>
    <row r="261" spans="1:26" ht="19.5">
      <c r="A261" s="997"/>
      <c r="B261" s="998"/>
      <c r="C261" s="999" t="s">
        <v>16</v>
      </c>
      <c r="D261" s="1000" t="s">
        <v>17</v>
      </c>
      <c r="E261" s="998"/>
      <c r="F261" s="998"/>
      <c r="G261" s="1001"/>
      <c r="H261" s="152" t="s">
        <v>12</v>
      </c>
      <c r="I261" s="1002"/>
      <c r="J261" s="1002"/>
      <c r="K261" s="1003"/>
      <c r="L261" s="1004">
        <f t="shared" ref="L261:N261" ca="1" si="116">L262+L263</f>
        <v>28800</v>
      </c>
      <c r="M261" s="1004">
        <f t="shared" ca="1" si="116"/>
        <v>25800</v>
      </c>
      <c r="N261" s="1004">
        <f t="shared" ca="1" si="116"/>
        <v>25800</v>
      </c>
      <c r="O261" s="1004">
        <f t="shared" ref="O261:O269" ca="1" si="117">IF(L261&gt;0,N261*100/L261,0)</f>
        <v>89.583333333333329</v>
      </c>
      <c r="P261" s="1004">
        <f t="shared" ref="P261:P269" ca="1" si="118">IF(M261&gt;0,N261*100/M261,0)</f>
        <v>100</v>
      </c>
      <c r="Q261" s="880"/>
      <c r="R261" s="880"/>
      <c r="S261" s="880"/>
      <c r="T261" s="880"/>
      <c r="U261" s="880"/>
      <c r="V261" s="880"/>
      <c r="W261" s="880"/>
      <c r="X261" s="880"/>
      <c r="Y261" s="880"/>
      <c r="Z261" s="880"/>
    </row>
    <row r="262" spans="1:26" ht="18.75" hidden="1">
      <c r="A262" s="1005"/>
      <c r="B262" s="895"/>
      <c r="C262" s="895"/>
      <c r="D262" s="895"/>
      <c r="E262" s="896" t="s">
        <v>18</v>
      </c>
      <c r="F262" s="895"/>
      <c r="G262" s="1006"/>
      <c r="H262" s="158" t="s">
        <v>12</v>
      </c>
      <c r="I262" s="898"/>
      <c r="J262" s="898"/>
      <c r="K262" s="899"/>
      <c r="L262" s="899">
        <f t="shared" ref="L262:N263" si="119">L265+L268</f>
        <v>0</v>
      </c>
      <c r="M262" s="899">
        <f t="shared" si="119"/>
        <v>0</v>
      </c>
      <c r="N262" s="899">
        <f t="shared" si="119"/>
        <v>0</v>
      </c>
      <c r="O262" s="899">
        <f t="shared" si="117"/>
        <v>0</v>
      </c>
      <c r="P262" s="899">
        <f t="shared" si="118"/>
        <v>0</v>
      </c>
      <c r="Q262" s="887"/>
      <c r="R262" s="887"/>
      <c r="S262" s="887"/>
      <c r="T262" s="887"/>
      <c r="U262" s="887"/>
      <c r="V262" s="887"/>
      <c r="W262" s="887"/>
      <c r="X262" s="887"/>
      <c r="Y262" s="887"/>
      <c r="Z262" s="887"/>
    </row>
    <row r="263" spans="1:26" ht="18.75" hidden="1">
      <c r="A263" s="1005"/>
      <c r="B263" s="895"/>
      <c r="C263" s="895"/>
      <c r="D263" s="895"/>
      <c r="E263" s="896" t="s">
        <v>19</v>
      </c>
      <c r="F263" s="895"/>
      <c r="G263" s="1006"/>
      <c r="H263" s="158" t="s">
        <v>12</v>
      </c>
      <c r="I263" s="898"/>
      <c r="J263" s="898"/>
      <c r="K263" s="899"/>
      <c r="L263" s="899">
        <f t="shared" ca="1" si="119"/>
        <v>28800</v>
      </c>
      <c r="M263" s="899">
        <f t="shared" ca="1" si="119"/>
        <v>25800</v>
      </c>
      <c r="N263" s="899">
        <f t="shared" ca="1" si="119"/>
        <v>25800</v>
      </c>
      <c r="O263" s="899">
        <f t="shared" ca="1" si="117"/>
        <v>89.583333333333329</v>
      </c>
      <c r="P263" s="899">
        <f t="shared" ca="1" si="118"/>
        <v>100</v>
      </c>
      <c r="Q263" s="887"/>
      <c r="R263" s="887"/>
      <c r="S263" s="887"/>
      <c r="T263" s="887"/>
      <c r="U263" s="887"/>
      <c r="V263" s="887"/>
      <c r="W263" s="887"/>
      <c r="X263" s="887"/>
      <c r="Y263" s="887"/>
      <c r="Z263" s="887"/>
    </row>
    <row r="264" spans="1:26" ht="18.75">
      <c r="A264" s="1007"/>
      <c r="B264" s="889"/>
      <c r="C264" s="1008"/>
      <c r="D264" s="890" t="s">
        <v>20</v>
      </c>
      <c r="E264" s="889"/>
      <c r="F264" s="889"/>
      <c r="G264" s="891"/>
      <c r="H264" s="161" t="s">
        <v>12</v>
      </c>
      <c r="I264" s="1009"/>
      <c r="J264" s="1009"/>
      <c r="K264" s="1010"/>
      <c r="L264" s="893">
        <f t="shared" ref="L264:N264" ca="1" si="120">L265+L266</f>
        <v>28800</v>
      </c>
      <c r="M264" s="893">
        <f t="shared" ca="1" si="120"/>
        <v>25800</v>
      </c>
      <c r="N264" s="893">
        <f t="shared" ca="1" si="120"/>
        <v>25800</v>
      </c>
      <c r="O264" s="893">
        <f t="shared" ca="1" si="117"/>
        <v>89.583333333333329</v>
      </c>
      <c r="P264" s="893">
        <f t="shared" ca="1" si="118"/>
        <v>100</v>
      </c>
      <c r="Q264" s="880"/>
      <c r="R264" s="880"/>
      <c r="S264" s="880"/>
      <c r="T264" s="880"/>
      <c r="U264" s="880"/>
      <c r="V264" s="880"/>
      <c r="W264" s="880"/>
      <c r="X264" s="880"/>
      <c r="Y264" s="880"/>
      <c r="Z264" s="880"/>
    </row>
    <row r="265" spans="1:26" ht="19.5" hidden="1">
      <c r="A265" s="1005"/>
      <c r="B265" s="895"/>
      <c r="C265" s="1011"/>
      <c r="D265" s="895"/>
      <c r="E265" s="896" t="s">
        <v>36</v>
      </c>
      <c r="F265" s="895"/>
      <c r="G265" s="1006"/>
      <c r="H265" s="165" t="s">
        <v>12</v>
      </c>
      <c r="I265" s="1012"/>
      <c r="J265" s="1012"/>
      <c r="K265" s="1013"/>
      <c r="L265" s="899">
        <v>0</v>
      </c>
      <c r="M265" s="899">
        <v>0</v>
      </c>
      <c r="N265" s="899">
        <v>0</v>
      </c>
      <c r="O265" s="899">
        <f t="shared" si="117"/>
        <v>0</v>
      </c>
      <c r="P265" s="899">
        <f t="shared" si="118"/>
        <v>0</v>
      </c>
      <c r="Q265" s="887"/>
      <c r="R265" s="887"/>
      <c r="S265" s="887"/>
      <c r="T265" s="887"/>
      <c r="U265" s="887"/>
      <c r="V265" s="887"/>
      <c r="W265" s="887"/>
      <c r="X265" s="887"/>
      <c r="Y265" s="887"/>
      <c r="Z265" s="887"/>
    </row>
    <row r="266" spans="1:26" ht="19.5" hidden="1">
      <c r="A266" s="1005"/>
      <c r="B266" s="895"/>
      <c r="C266" s="1011"/>
      <c r="D266" s="895"/>
      <c r="E266" s="896" t="s">
        <v>37</v>
      </c>
      <c r="F266" s="895"/>
      <c r="G266" s="1006"/>
      <c r="H266" s="165" t="s">
        <v>12</v>
      </c>
      <c r="I266" s="1012"/>
      <c r="J266" s="1012"/>
      <c r="K266" s="1013"/>
      <c r="L266" s="899">
        <f ca="1">IFERROR(__xludf.DUMMYFUNCTION("IMPORTRANGE(""https://docs.google.com/spreadsheets/d/1MeEWN-I1oV_STSDYn1IFDPWt_1FKiwhDph83XaGc0o0/edit?usp=sharing"",""งบพรบ!CY51"")"),28800)</f>
        <v>28800</v>
      </c>
      <c r="M266" s="899">
        <f ca="1">IFERROR(__xludf.DUMMYFUNCTION("IMPORTRANGE(""https://docs.google.com/spreadsheets/d/1MeEWN-I1oV_STSDYn1IFDPWt_1FKiwhDph83XaGc0o0/edit?usp=sharing"",""งบพรบ!DD51"")"),25800)</f>
        <v>25800</v>
      </c>
      <c r="N266" s="899">
        <f ca="1">IFERROR(__xludf.DUMMYFUNCTION("IMPORTRANGE(""https://docs.google.com/spreadsheets/d/1MeEWN-I1oV_STSDYn1IFDPWt_1FKiwhDph83XaGc0o0/edit?usp=sharing"",""งบพรบ!DF51"")"),25800)</f>
        <v>25800</v>
      </c>
      <c r="O266" s="899">
        <f t="shared" ca="1" si="117"/>
        <v>89.583333333333329</v>
      </c>
      <c r="P266" s="899">
        <f t="shared" ca="1" si="118"/>
        <v>100</v>
      </c>
      <c r="Q266" s="887"/>
      <c r="R266" s="887"/>
      <c r="S266" s="887"/>
      <c r="T266" s="887"/>
      <c r="U266" s="887"/>
      <c r="V266" s="887"/>
      <c r="W266" s="887"/>
      <c r="X266" s="887"/>
      <c r="Y266" s="887"/>
      <c r="Z266" s="887"/>
    </row>
    <row r="267" spans="1:26" ht="18.75">
      <c r="A267" s="1007"/>
      <c r="B267" s="889"/>
      <c r="C267" s="1008"/>
      <c r="D267" s="890" t="s">
        <v>21</v>
      </c>
      <c r="E267" s="889"/>
      <c r="F267" s="889"/>
      <c r="G267" s="891"/>
      <c r="H267" s="168" t="s">
        <v>12</v>
      </c>
      <c r="I267" s="1009"/>
      <c r="J267" s="1009"/>
      <c r="K267" s="1010"/>
      <c r="L267" s="893">
        <f t="shared" ref="L267:N267" ca="1" si="121">L268+L269</f>
        <v>0</v>
      </c>
      <c r="M267" s="893">
        <f t="shared" ca="1" si="121"/>
        <v>0</v>
      </c>
      <c r="N267" s="893">
        <f t="shared" ca="1" si="121"/>
        <v>0</v>
      </c>
      <c r="O267" s="893">
        <f t="shared" ca="1" si="117"/>
        <v>0</v>
      </c>
      <c r="P267" s="893">
        <f t="shared" ca="1" si="118"/>
        <v>0</v>
      </c>
      <c r="Q267" s="880"/>
      <c r="R267" s="880"/>
      <c r="S267" s="880"/>
      <c r="T267" s="880"/>
      <c r="U267" s="880"/>
      <c r="V267" s="880"/>
      <c r="W267" s="880"/>
      <c r="X267" s="880"/>
      <c r="Y267" s="880"/>
      <c r="Z267" s="880"/>
    </row>
    <row r="268" spans="1:26" ht="19.5" hidden="1">
      <c r="A268" s="1005"/>
      <c r="B268" s="895"/>
      <c r="C268" s="1011"/>
      <c r="D268" s="895"/>
      <c r="E268" s="896" t="s">
        <v>18</v>
      </c>
      <c r="F268" s="895"/>
      <c r="G268" s="1006"/>
      <c r="H268" s="165" t="s">
        <v>12</v>
      </c>
      <c r="I268" s="1012"/>
      <c r="J268" s="1012"/>
      <c r="K268" s="1013"/>
      <c r="L268" s="899">
        <v>0</v>
      </c>
      <c r="M268" s="899">
        <v>0</v>
      </c>
      <c r="N268" s="899">
        <v>0</v>
      </c>
      <c r="O268" s="899">
        <f t="shared" si="117"/>
        <v>0</v>
      </c>
      <c r="P268" s="899">
        <f t="shared" si="118"/>
        <v>0</v>
      </c>
      <c r="Q268" s="887"/>
      <c r="R268" s="887"/>
      <c r="S268" s="887"/>
      <c r="T268" s="887"/>
      <c r="U268" s="887"/>
      <c r="V268" s="887"/>
      <c r="W268" s="887"/>
      <c r="X268" s="887"/>
      <c r="Y268" s="887"/>
      <c r="Z268" s="887"/>
    </row>
    <row r="269" spans="1:26" ht="19.5" hidden="1">
      <c r="A269" s="1005"/>
      <c r="B269" s="895"/>
      <c r="C269" s="1011"/>
      <c r="D269" s="895"/>
      <c r="E269" s="896" t="s">
        <v>19</v>
      </c>
      <c r="F269" s="895"/>
      <c r="G269" s="1006"/>
      <c r="H269" s="169" t="s">
        <v>12</v>
      </c>
      <c r="I269" s="1012"/>
      <c r="J269" s="1012"/>
      <c r="K269" s="1013"/>
      <c r="L269" s="899">
        <f ca="1">IFERROR(__xludf.DUMMYFUNCTION("IMPORTRANGE(""https://docs.google.com/spreadsheets/d/1MeEWN-I1oV_STSDYn1IFDPWt_1FKiwhDph83XaGc0o0/edit?usp=sharing"",""งบพรบ!DB51"")"),0)</f>
        <v>0</v>
      </c>
      <c r="M269" s="899">
        <f ca="1">IFERROR(__xludf.DUMMYFUNCTION("IMPORTRANGE(""https://docs.google.com/spreadsheets/d/1MeEWN-I1oV_STSDYn1IFDPWt_1FKiwhDph83XaGc0o0/edit?usp=sharing"",""งบพรบ!DE51"")"),0)</f>
        <v>0</v>
      </c>
      <c r="N269" s="899">
        <f ca="1">IFERROR(__xludf.DUMMYFUNCTION("IMPORTRANGE(""https://docs.google.com/spreadsheets/d/1MeEWN-I1oV_STSDYn1IFDPWt_1FKiwhDph83XaGc0o0/edit?usp=sharing"",""งบพรบ!DG51"")"),0)</f>
        <v>0</v>
      </c>
      <c r="O269" s="899">
        <f t="shared" ca="1" si="117"/>
        <v>0</v>
      </c>
      <c r="P269" s="899">
        <f t="shared" ca="1" si="118"/>
        <v>0</v>
      </c>
      <c r="Q269" s="887"/>
      <c r="R269" s="887"/>
      <c r="S269" s="887"/>
      <c r="T269" s="887"/>
      <c r="U269" s="887"/>
      <c r="V269" s="887"/>
      <c r="W269" s="887"/>
      <c r="X269" s="887"/>
      <c r="Y269" s="887"/>
      <c r="Z269" s="887"/>
    </row>
    <row r="270" spans="1:26" ht="19.5">
      <c r="A270" s="1014"/>
      <c r="B270" s="1015"/>
      <c r="C270" s="1008" t="s">
        <v>16</v>
      </c>
      <c r="D270" s="1016" t="s">
        <v>38</v>
      </c>
      <c r="E270" s="1017"/>
      <c r="F270" s="1017"/>
      <c r="G270" s="1018"/>
      <c r="H270" s="1019"/>
      <c r="I270" s="1009"/>
      <c r="J270" s="1009"/>
      <c r="K270" s="1010"/>
      <c r="L270" s="1010"/>
      <c r="M270" s="1010"/>
      <c r="N270" s="1010"/>
      <c r="O270" s="1010"/>
      <c r="P270" s="1010"/>
    </row>
    <row r="271" spans="1:26" ht="18.75">
      <c r="A271" s="1014"/>
      <c r="B271" s="1015"/>
      <c r="C271" s="1015"/>
      <c r="D271" s="1143" t="s">
        <v>124</v>
      </c>
      <c r="E271" s="1022"/>
      <c r="F271" s="1087"/>
      <c r="G271" s="1023"/>
      <c r="H271" s="377" t="s">
        <v>35</v>
      </c>
      <c r="I271" s="892">
        <f ca="1">IFERROR(__xludf.DUMMYFUNCTION("IMPORTRANGE(""https://docs.google.com/spreadsheets/d/1QqKyyYR6Q21VydFLVH3TRQUabQu_ym0Zz7PgGX0-kHA/edit?usp=sharing"",""แผน!EA51"")"),24)</f>
        <v>24</v>
      </c>
      <c r="J271" s="1024">
        <v>24</v>
      </c>
      <c r="K271" s="1010">
        <f ca="1">IF(I271&gt;0,J271*100/I271,0)</f>
        <v>100</v>
      </c>
      <c r="L271" s="1010"/>
      <c r="M271" s="1010"/>
      <c r="N271" s="1010"/>
      <c r="O271" s="1010"/>
      <c r="P271" s="1010"/>
    </row>
    <row r="272" spans="1:26" ht="18.75" hidden="1">
      <c r="A272" s="1144"/>
      <c r="B272" s="1145"/>
      <c r="C272" s="1145"/>
      <c r="D272" s="1146" t="s">
        <v>125</v>
      </c>
      <c r="E272" s="1147"/>
      <c r="F272" s="1147"/>
      <c r="G272" s="1148"/>
      <c r="H272" s="50" t="s">
        <v>35</v>
      </c>
      <c r="I272" s="1149">
        <v>0</v>
      </c>
      <c r="J272" s="1149">
        <v>0</v>
      </c>
      <c r="K272" s="1150">
        <v>0</v>
      </c>
      <c r="L272" s="1150"/>
      <c r="M272" s="1150"/>
      <c r="N272" s="1150"/>
      <c r="O272" s="1150"/>
      <c r="P272" s="1150"/>
    </row>
    <row r="273" spans="1:26" ht="19.5">
      <c r="A273" s="1151" t="s">
        <v>126</v>
      </c>
      <c r="B273" s="1152"/>
      <c r="C273" s="1152"/>
      <c r="D273" s="1152"/>
      <c r="E273" s="1153"/>
      <c r="F273" s="1153"/>
      <c r="G273" s="1154"/>
      <c r="H273" s="1155"/>
      <c r="I273" s="1156"/>
      <c r="J273" s="1156"/>
      <c r="K273" s="1157"/>
      <c r="L273" s="1157"/>
      <c r="M273" s="1157"/>
      <c r="N273" s="1157"/>
      <c r="O273" s="1157"/>
      <c r="P273" s="1157"/>
    </row>
    <row r="274" spans="1:26" ht="19.5">
      <c r="A274" s="1158" t="s">
        <v>127</v>
      </c>
      <c r="B274" s="1159"/>
      <c r="C274" s="1160"/>
      <c r="D274" s="1159"/>
      <c r="E274" s="1159"/>
      <c r="F274" s="1159"/>
      <c r="G274" s="1159"/>
      <c r="H274" s="1161"/>
      <c r="I274" s="1162"/>
      <c r="J274" s="1163"/>
      <c r="K274" s="1164"/>
      <c r="L274" s="1164"/>
      <c r="M274" s="1164"/>
      <c r="N274" s="1164"/>
      <c r="O274" s="1164"/>
      <c r="P274" s="1164"/>
    </row>
    <row r="275" spans="1:26" ht="19.5">
      <c r="A275" s="1165"/>
      <c r="B275" s="1166" t="s">
        <v>128</v>
      </c>
      <c r="C275" s="1167"/>
      <c r="D275" s="1168"/>
      <c r="E275" s="1167"/>
      <c r="F275" s="1167"/>
      <c r="G275" s="1169"/>
      <c r="H275" s="405" t="s">
        <v>35</v>
      </c>
      <c r="I275" s="1170">
        <f t="shared" ref="I275:J275" ca="1" si="122">I288</f>
        <v>20</v>
      </c>
      <c r="J275" s="1170">
        <f t="shared" ca="1" si="122"/>
        <v>0</v>
      </c>
      <c r="K275" s="1171">
        <f t="shared" ref="K275:K276" ca="1" si="123">IF(I275&gt;0,J275*100/I275,0)</f>
        <v>0</v>
      </c>
      <c r="L275" s="1172"/>
      <c r="M275" s="1172"/>
      <c r="N275" s="1172"/>
      <c r="O275" s="1172"/>
      <c r="P275" s="1172"/>
    </row>
    <row r="276" spans="1:26" ht="19.5">
      <c r="A276" s="1165"/>
      <c r="B276" s="1166"/>
      <c r="C276" s="1167"/>
      <c r="D276" s="1168"/>
      <c r="E276" s="1167"/>
      <c r="F276" s="1167"/>
      <c r="G276" s="1169"/>
      <c r="H276" s="405" t="s">
        <v>46</v>
      </c>
      <c r="I276" s="1173">
        <f t="shared" ref="I276:J276" ca="1" si="124">I287</f>
        <v>200</v>
      </c>
      <c r="J276" s="1173">
        <f t="shared" si="124"/>
        <v>200</v>
      </c>
      <c r="K276" s="1172">
        <f t="shared" ca="1" si="123"/>
        <v>100</v>
      </c>
      <c r="L276" s="1172"/>
      <c r="M276" s="1172"/>
      <c r="N276" s="1172"/>
      <c r="O276" s="1172"/>
      <c r="P276" s="1172"/>
    </row>
    <row r="277" spans="1:26" ht="19.5">
      <c r="A277" s="997"/>
      <c r="B277" s="998"/>
      <c r="C277" s="999" t="s">
        <v>16</v>
      </c>
      <c r="D277" s="1000" t="s">
        <v>17</v>
      </c>
      <c r="E277" s="998"/>
      <c r="F277" s="998"/>
      <c r="G277" s="1001"/>
      <c r="H277" s="152" t="s">
        <v>12</v>
      </c>
      <c r="I277" s="1002"/>
      <c r="J277" s="1002"/>
      <c r="K277" s="1003"/>
      <c r="L277" s="1004">
        <f t="shared" ref="L277:N277" ca="1" si="125">L278+L279</f>
        <v>75640</v>
      </c>
      <c r="M277" s="1004">
        <f t="shared" ca="1" si="125"/>
        <v>37520</v>
      </c>
      <c r="N277" s="1004">
        <f t="shared" ca="1" si="125"/>
        <v>37105.9</v>
      </c>
      <c r="O277" s="1004">
        <f t="shared" ref="O277:O285" ca="1" si="126">IF(L277&gt;0,N277*100/L277,0)</f>
        <v>49.055922792173455</v>
      </c>
      <c r="P277" s="1004">
        <f t="shared" ref="P277:P285" ca="1" si="127">IF(M277&gt;0,N277*100/M277,0)</f>
        <v>98.896321961620473</v>
      </c>
      <c r="Q277" s="880"/>
      <c r="R277" s="880"/>
      <c r="S277" s="880"/>
      <c r="T277" s="880"/>
      <c r="U277" s="880"/>
      <c r="V277" s="880"/>
      <c r="W277" s="880"/>
      <c r="X277" s="880"/>
      <c r="Y277" s="880"/>
      <c r="Z277" s="880"/>
    </row>
    <row r="278" spans="1:26" ht="18.75" hidden="1">
      <c r="A278" s="1005"/>
      <c r="B278" s="895"/>
      <c r="C278" s="895"/>
      <c r="D278" s="895"/>
      <c r="E278" s="896" t="s">
        <v>18</v>
      </c>
      <c r="F278" s="895"/>
      <c r="G278" s="1006"/>
      <c r="H278" s="158" t="s">
        <v>12</v>
      </c>
      <c r="I278" s="898"/>
      <c r="J278" s="898"/>
      <c r="K278" s="899"/>
      <c r="L278" s="899">
        <f t="shared" ref="L278:N279" si="128">L281+L284</f>
        <v>0</v>
      </c>
      <c r="M278" s="899">
        <f t="shared" si="128"/>
        <v>0</v>
      </c>
      <c r="N278" s="899">
        <f t="shared" si="128"/>
        <v>0</v>
      </c>
      <c r="O278" s="899">
        <f t="shared" si="126"/>
        <v>0</v>
      </c>
      <c r="P278" s="899">
        <f t="shared" si="127"/>
        <v>0</v>
      </c>
      <c r="Q278" s="887"/>
      <c r="R278" s="887"/>
      <c r="S278" s="887"/>
      <c r="T278" s="887"/>
      <c r="U278" s="887"/>
      <c r="V278" s="887"/>
      <c r="W278" s="887"/>
      <c r="X278" s="887"/>
      <c r="Y278" s="887"/>
      <c r="Z278" s="887"/>
    </row>
    <row r="279" spans="1:26" ht="18.75" hidden="1">
      <c r="A279" s="1005"/>
      <c r="B279" s="895"/>
      <c r="C279" s="895"/>
      <c r="D279" s="895"/>
      <c r="E279" s="896" t="s">
        <v>19</v>
      </c>
      <c r="F279" s="895"/>
      <c r="G279" s="1006"/>
      <c r="H279" s="158" t="s">
        <v>12</v>
      </c>
      <c r="I279" s="898"/>
      <c r="J279" s="898"/>
      <c r="K279" s="899"/>
      <c r="L279" s="899">
        <f t="shared" ca="1" si="128"/>
        <v>75640</v>
      </c>
      <c r="M279" s="899">
        <f t="shared" ca="1" si="128"/>
        <v>37520</v>
      </c>
      <c r="N279" s="899">
        <f t="shared" ca="1" si="128"/>
        <v>37105.9</v>
      </c>
      <c r="O279" s="899">
        <f t="shared" ca="1" si="126"/>
        <v>49.055922792173455</v>
      </c>
      <c r="P279" s="899">
        <f t="shared" ca="1" si="127"/>
        <v>98.896321961620473</v>
      </c>
      <c r="Q279" s="887"/>
      <c r="R279" s="887"/>
      <c r="S279" s="887"/>
      <c r="T279" s="887"/>
      <c r="U279" s="887"/>
      <c r="V279" s="887"/>
      <c r="W279" s="887"/>
      <c r="X279" s="887"/>
      <c r="Y279" s="887"/>
      <c r="Z279" s="887"/>
    </row>
    <row r="280" spans="1:26" ht="18.75">
      <c r="A280" s="1007"/>
      <c r="B280" s="889"/>
      <c r="C280" s="1008"/>
      <c r="D280" s="890" t="s">
        <v>20</v>
      </c>
      <c r="E280" s="889"/>
      <c r="F280" s="889"/>
      <c r="G280" s="891"/>
      <c r="H280" s="161" t="s">
        <v>12</v>
      </c>
      <c r="I280" s="1009"/>
      <c r="J280" s="1009"/>
      <c r="K280" s="1010"/>
      <c r="L280" s="893">
        <f t="shared" ref="L280:N280" ca="1" si="129">L281+L282</f>
        <v>75640</v>
      </c>
      <c r="M280" s="893">
        <f t="shared" ca="1" si="129"/>
        <v>37520</v>
      </c>
      <c r="N280" s="893">
        <f t="shared" ca="1" si="129"/>
        <v>37105.9</v>
      </c>
      <c r="O280" s="893">
        <f t="shared" ca="1" si="126"/>
        <v>49.055922792173455</v>
      </c>
      <c r="P280" s="893">
        <f t="shared" ca="1" si="127"/>
        <v>98.896321961620473</v>
      </c>
      <c r="Q280" s="880"/>
      <c r="R280" s="880"/>
      <c r="S280" s="880"/>
      <c r="T280" s="880"/>
      <c r="U280" s="880"/>
      <c r="V280" s="880"/>
      <c r="W280" s="880"/>
      <c r="X280" s="880"/>
      <c r="Y280" s="880"/>
      <c r="Z280" s="880"/>
    </row>
    <row r="281" spans="1:26" ht="19.5" hidden="1">
      <c r="A281" s="1005"/>
      <c r="B281" s="895"/>
      <c r="C281" s="1011"/>
      <c r="D281" s="895"/>
      <c r="E281" s="896" t="s">
        <v>36</v>
      </c>
      <c r="F281" s="895"/>
      <c r="G281" s="1006"/>
      <c r="H281" s="165" t="s">
        <v>12</v>
      </c>
      <c r="I281" s="1012"/>
      <c r="J281" s="1012"/>
      <c r="K281" s="1013"/>
      <c r="L281" s="899">
        <v>0</v>
      </c>
      <c r="M281" s="899">
        <v>0</v>
      </c>
      <c r="N281" s="899">
        <v>0</v>
      </c>
      <c r="O281" s="899">
        <f t="shared" si="126"/>
        <v>0</v>
      </c>
      <c r="P281" s="899">
        <f t="shared" si="127"/>
        <v>0</v>
      </c>
      <c r="Q281" s="887"/>
      <c r="R281" s="887"/>
      <c r="S281" s="887"/>
      <c r="T281" s="887"/>
      <c r="U281" s="887"/>
      <c r="V281" s="887"/>
      <c r="W281" s="887"/>
      <c r="X281" s="887"/>
      <c r="Y281" s="887"/>
      <c r="Z281" s="887"/>
    </row>
    <row r="282" spans="1:26" ht="19.5" hidden="1">
      <c r="A282" s="1005"/>
      <c r="B282" s="895"/>
      <c r="C282" s="1011"/>
      <c r="D282" s="895"/>
      <c r="E282" s="896" t="s">
        <v>37</v>
      </c>
      <c r="F282" s="895"/>
      <c r="G282" s="1006"/>
      <c r="H282" s="165" t="s">
        <v>12</v>
      </c>
      <c r="I282" s="1012"/>
      <c r="J282" s="1012"/>
      <c r="K282" s="1013"/>
      <c r="L282" s="899">
        <f ca="1">IFERROR(__xludf.DUMMYFUNCTION("IMPORTRANGE(""https://docs.google.com/spreadsheets/d/1MeEWN-I1oV_STSDYn1IFDPWt_1FKiwhDph83XaGc0o0/edit?usp=sharing"",""งบพรบ!DI51"")"),75640)</f>
        <v>75640</v>
      </c>
      <c r="M282" s="899">
        <f ca="1">IFERROR(__xludf.DUMMYFUNCTION("IMPORTRANGE(""https://docs.google.com/spreadsheets/d/1MeEWN-I1oV_STSDYn1IFDPWt_1FKiwhDph83XaGc0o0/edit?usp=sharing"",""งบพรบ!DN51"")"),37520)</f>
        <v>37520</v>
      </c>
      <c r="N282" s="899">
        <f ca="1">IFERROR(__xludf.DUMMYFUNCTION("IMPORTRANGE(""https://docs.google.com/spreadsheets/d/1MeEWN-I1oV_STSDYn1IFDPWt_1FKiwhDph83XaGc0o0/edit?usp=sharing"",""งบพรบ!DP51"")"),37105.9)</f>
        <v>37105.9</v>
      </c>
      <c r="O282" s="899">
        <f t="shared" ca="1" si="126"/>
        <v>49.055922792173455</v>
      </c>
      <c r="P282" s="899">
        <f t="shared" ca="1" si="127"/>
        <v>98.896321961620473</v>
      </c>
      <c r="Q282" s="887"/>
      <c r="R282" s="887"/>
      <c r="S282" s="887"/>
      <c r="T282" s="887"/>
      <c r="U282" s="887"/>
      <c r="V282" s="887"/>
      <c r="W282" s="887"/>
      <c r="X282" s="887"/>
      <c r="Y282" s="887"/>
      <c r="Z282" s="887"/>
    </row>
    <row r="283" spans="1:26" ht="18.75">
      <c r="A283" s="1007"/>
      <c r="B283" s="889"/>
      <c r="C283" s="1008"/>
      <c r="D283" s="890" t="s">
        <v>21</v>
      </c>
      <c r="E283" s="889"/>
      <c r="F283" s="889"/>
      <c r="G283" s="891"/>
      <c r="H283" s="168" t="s">
        <v>12</v>
      </c>
      <c r="I283" s="1009"/>
      <c r="J283" s="1009"/>
      <c r="K283" s="1010"/>
      <c r="L283" s="893">
        <f t="shared" ref="L283:N283" ca="1" si="130">L284+L285</f>
        <v>0</v>
      </c>
      <c r="M283" s="893">
        <f t="shared" ca="1" si="130"/>
        <v>0</v>
      </c>
      <c r="N283" s="893">
        <f t="shared" ca="1" si="130"/>
        <v>0</v>
      </c>
      <c r="O283" s="893">
        <f t="shared" ca="1" si="126"/>
        <v>0</v>
      </c>
      <c r="P283" s="893">
        <f t="shared" ca="1" si="127"/>
        <v>0</v>
      </c>
      <c r="Q283" s="880"/>
      <c r="R283" s="880"/>
      <c r="S283" s="880"/>
      <c r="T283" s="880"/>
      <c r="U283" s="880"/>
      <c r="V283" s="880"/>
      <c r="W283" s="880"/>
      <c r="X283" s="880"/>
      <c r="Y283" s="880"/>
      <c r="Z283" s="880"/>
    </row>
    <row r="284" spans="1:26" ht="19.5" hidden="1">
      <c r="A284" s="1005"/>
      <c r="B284" s="895"/>
      <c r="C284" s="1011"/>
      <c r="D284" s="895"/>
      <c r="E284" s="896" t="s">
        <v>18</v>
      </c>
      <c r="F284" s="895"/>
      <c r="G284" s="1006"/>
      <c r="H284" s="165" t="s">
        <v>12</v>
      </c>
      <c r="I284" s="1012"/>
      <c r="J284" s="1012"/>
      <c r="K284" s="1013"/>
      <c r="L284" s="899">
        <v>0</v>
      </c>
      <c r="M284" s="899">
        <v>0</v>
      </c>
      <c r="N284" s="899">
        <v>0</v>
      </c>
      <c r="O284" s="899">
        <f t="shared" si="126"/>
        <v>0</v>
      </c>
      <c r="P284" s="899">
        <f t="shared" si="127"/>
        <v>0</v>
      </c>
      <c r="Q284" s="887"/>
      <c r="R284" s="887"/>
      <c r="S284" s="887"/>
      <c r="T284" s="887"/>
      <c r="U284" s="887"/>
      <c r="V284" s="887"/>
      <c r="W284" s="887"/>
      <c r="X284" s="887"/>
      <c r="Y284" s="887"/>
      <c r="Z284" s="887"/>
    </row>
    <row r="285" spans="1:26" ht="19.5" hidden="1">
      <c r="A285" s="1005"/>
      <c r="B285" s="895"/>
      <c r="C285" s="1011"/>
      <c r="D285" s="895"/>
      <c r="E285" s="896" t="s">
        <v>19</v>
      </c>
      <c r="F285" s="895"/>
      <c r="G285" s="1006"/>
      <c r="H285" s="169" t="s">
        <v>12</v>
      </c>
      <c r="I285" s="1012"/>
      <c r="J285" s="1012"/>
      <c r="K285" s="1013"/>
      <c r="L285" s="899">
        <f ca="1">IFERROR(__xludf.DUMMYFUNCTION("IMPORTRANGE(""https://docs.google.com/spreadsheets/d/1MeEWN-I1oV_STSDYn1IFDPWt_1FKiwhDph83XaGc0o0/edit?usp=sharing"",""งบพรบ!DL51"")"),0)</f>
        <v>0</v>
      </c>
      <c r="M285" s="899">
        <f ca="1">IFERROR(__xludf.DUMMYFUNCTION("IMPORTRANGE(""https://docs.google.com/spreadsheets/d/1MeEWN-I1oV_STSDYn1IFDPWt_1FKiwhDph83XaGc0o0/edit?usp=sharing"",""งบพรบ!DO51"")"),0)</f>
        <v>0</v>
      </c>
      <c r="N285" s="899">
        <f ca="1">IFERROR(__xludf.DUMMYFUNCTION("IMPORTRANGE(""https://docs.google.com/spreadsheets/d/1MeEWN-I1oV_STSDYn1IFDPWt_1FKiwhDph83XaGc0o0/edit?usp=sharing"",""งบพรบ!DQ51"")"),0)</f>
        <v>0</v>
      </c>
      <c r="O285" s="899">
        <f t="shared" ca="1" si="126"/>
        <v>0</v>
      </c>
      <c r="P285" s="899">
        <f t="shared" ca="1" si="127"/>
        <v>0</v>
      </c>
      <c r="Q285" s="887"/>
      <c r="R285" s="887"/>
      <c r="S285" s="887"/>
      <c r="T285" s="887"/>
      <c r="U285" s="887"/>
      <c r="V285" s="887"/>
      <c r="W285" s="887"/>
      <c r="X285" s="887"/>
      <c r="Y285" s="887"/>
      <c r="Z285" s="887"/>
    </row>
    <row r="286" spans="1:26" ht="19.5">
      <c r="A286" s="1014"/>
      <c r="B286" s="1015"/>
      <c r="C286" s="1011" t="s">
        <v>16</v>
      </c>
      <c r="D286" s="1016" t="s">
        <v>38</v>
      </c>
      <c r="E286" s="1017"/>
      <c r="F286" s="1017"/>
      <c r="G286" s="1018"/>
      <c r="H286" s="1019"/>
      <c r="I286" s="1009"/>
      <c r="J286" s="1009"/>
      <c r="K286" s="1010"/>
      <c r="L286" s="1010"/>
      <c r="M286" s="1010"/>
      <c r="N286" s="1010"/>
      <c r="O286" s="1010"/>
      <c r="P286" s="1010"/>
    </row>
    <row r="287" spans="1:26" ht="18.75">
      <c r="A287" s="1014"/>
      <c r="B287" s="1015"/>
      <c r="C287" s="1015"/>
      <c r="D287" s="1026" t="s">
        <v>129</v>
      </c>
      <c r="E287" s="1015"/>
      <c r="F287" s="1022"/>
      <c r="G287" s="1023"/>
      <c r="H287" s="185" t="s">
        <v>46</v>
      </c>
      <c r="I287" s="892">
        <f ca="1">IFERROR(__xludf.DUMMYFUNCTION("IMPORTRANGE(""https://docs.google.com/spreadsheets/d/1QqKyyYR6Q21VydFLVH3TRQUabQu_ym0Zz7PgGX0-kHA/edit?usp=sharing"",""แผน!EC51"")"),200)</f>
        <v>200</v>
      </c>
      <c r="J287" s="1024">
        <v>200</v>
      </c>
      <c r="K287" s="1010">
        <f t="shared" ref="K287:K288" ca="1" si="131">IF(I287&gt;0,J287*100/I287,0)</f>
        <v>100</v>
      </c>
      <c r="L287" s="1010"/>
      <c r="M287" s="1010"/>
      <c r="N287" s="1010"/>
      <c r="O287" s="1010"/>
      <c r="P287" s="1010"/>
    </row>
    <row r="288" spans="1:26" ht="19.5">
      <c r="A288" s="1014"/>
      <c r="B288" s="1015"/>
      <c r="C288" s="1015"/>
      <c r="D288" s="1026" t="s">
        <v>130</v>
      </c>
      <c r="E288" s="1015"/>
      <c r="F288" s="1022"/>
      <c r="G288" s="1023"/>
      <c r="H288" s="180" t="s">
        <v>35</v>
      </c>
      <c r="I288" s="1031">
        <f ca="1">IFERROR(__xludf.DUMMYFUNCTION("IMPORTRANGE(""https://docs.google.com/spreadsheets/d/1QqKyyYR6Q21VydFLVH3TRQUabQu_ym0Zz7PgGX0-kHA/edit?usp=sharing"",""แผน!EB51"")"),20)</f>
        <v>20</v>
      </c>
      <c r="J288" s="1031">
        <f ca="1">IF(AND(J291&gt;=I288,J294&gt;=I288),J294,0)</f>
        <v>0</v>
      </c>
      <c r="K288" s="1174">
        <f t="shared" ca="1" si="131"/>
        <v>0</v>
      </c>
      <c r="L288" s="1010"/>
      <c r="M288" s="1010"/>
      <c r="N288" s="1010"/>
      <c r="O288" s="1010"/>
      <c r="P288" s="1010"/>
    </row>
    <row r="289" spans="1:26" ht="19.5">
      <c r="A289" s="1014"/>
      <c r="B289" s="1015"/>
      <c r="C289" s="1015"/>
      <c r="D289" s="1175"/>
      <c r="E289" s="1176" t="s">
        <v>131</v>
      </c>
      <c r="F289" s="1022"/>
      <c r="G289" s="1023"/>
      <c r="H289" s="761"/>
      <c r="I289" s="1009"/>
      <c r="J289" s="892"/>
      <c r="K289" s="1010"/>
      <c r="L289" s="1010"/>
      <c r="M289" s="1010"/>
      <c r="N289" s="1010"/>
      <c r="O289" s="1010"/>
      <c r="P289" s="1010"/>
    </row>
    <row r="290" spans="1:26" ht="19.5">
      <c r="A290" s="1014"/>
      <c r="B290" s="1015"/>
      <c r="C290" s="1015"/>
      <c r="D290" s="1175"/>
      <c r="E290" s="1026" t="s">
        <v>132</v>
      </c>
      <c r="F290" s="1022"/>
      <c r="G290" s="1023"/>
      <c r="H290" s="761" t="s">
        <v>35</v>
      </c>
      <c r="I290" s="1009">
        <f ca="1">IFERROR(__xludf.DUMMYFUNCTION("IMPORTRANGE(""https://docs.google.com/spreadsheets/d/1QqKyyYR6Q21VydFLVH3TRQUabQu_ym0Zz7PgGX0-kHA/edit?usp=sharing"",""แผน!EB51"")"),20)</f>
        <v>20</v>
      </c>
      <c r="J290" s="1024">
        <v>20</v>
      </c>
      <c r="K290" s="1010">
        <f t="shared" ref="K290:K291" ca="1" si="132">IF(I290&gt;0,J290*100/I290,0)</f>
        <v>100</v>
      </c>
      <c r="L290" s="1010"/>
      <c r="M290" s="1010"/>
      <c r="N290" s="1010"/>
      <c r="O290" s="1010"/>
      <c r="P290" s="1010"/>
    </row>
    <row r="291" spans="1:26" ht="19.5">
      <c r="A291" s="1014"/>
      <c r="B291" s="1015"/>
      <c r="C291" s="1015"/>
      <c r="D291" s="1022"/>
      <c r="E291" s="1026" t="s">
        <v>133</v>
      </c>
      <c r="F291" s="1022"/>
      <c r="G291" s="1023"/>
      <c r="H291" s="761" t="s">
        <v>35</v>
      </c>
      <c r="I291" s="1009">
        <f ca="1">IFERROR(__xludf.DUMMYFUNCTION("IMPORTRANGE(""https://docs.google.com/spreadsheets/d/1QqKyyYR6Q21VydFLVH3TRQUabQu_ym0Zz7PgGX0-kHA/edit?usp=sharing"",""แผน!EB51"")"),20)</f>
        <v>20</v>
      </c>
      <c r="J291" s="1024">
        <v>20</v>
      </c>
      <c r="K291" s="1010">
        <f t="shared" ca="1" si="132"/>
        <v>100</v>
      </c>
      <c r="L291" s="1010"/>
      <c r="M291" s="1010"/>
      <c r="N291" s="1010"/>
      <c r="O291" s="1010"/>
      <c r="P291" s="1010"/>
    </row>
    <row r="292" spans="1:26" ht="19.5">
      <c r="A292" s="1177"/>
      <c r="B292" s="1178"/>
      <c r="C292" s="1178"/>
      <c r="D292" s="1179"/>
      <c r="E292" s="1180" t="s">
        <v>134</v>
      </c>
      <c r="F292" s="1099"/>
      <c r="G292" s="1100"/>
      <c r="H292" s="418"/>
      <c r="I292" s="1093"/>
      <c r="J292" s="1002"/>
      <c r="K292" s="1094"/>
      <c r="L292" s="1094"/>
      <c r="M292" s="1094"/>
      <c r="N292" s="1094"/>
      <c r="O292" s="1094"/>
      <c r="P292" s="1094"/>
    </row>
    <row r="293" spans="1:26" ht="19.5">
      <c r="A293" s="1014"/>
      <c r="B293" s="1015"/>
      <c r="C293" s="1015"/>
      <c r="D293" s="1175"/>
      <c r="E293" s="1026" t="s">
        <v>132</v>
      </c>
      <c r="F293" s="1022"/>
      <c r="G293" s="1023"/>
      <c r="H293" s="761" t="s">
        <v>35</v>
      </c>
      <c r="I293" s="1009">
        <f ca="1">IFERROR(__xludf.DUMMYFUNCTION("IMPORTRANGE(""https://docs.google.com/spreadsheets/d/1QqKyyYR6Q21VydFLVH3TRQUabQu_ym0Zz7PgGX0-kHA/edit?usp=sharing"",""แผน!EB51"")"),20)</f>
        <v>20</v>
      </c>
      <c r="J293" s="1024">
        <v>0</v>
      </c>
      <c r="K293" s="1010">
        <f t="shared" ref="K293:K294" ca="1" si="133">IF(I293&gt;0,J293*100/I293,0)</f>
        <v>0</v>
      </c>
      <c r="L293" s="1010"/>
      <c r="M293" s="1010"/>
      <c r="N293" s="1010"/>
      <c r="O293" s="1010"/>
      <c r="P293" s="1010"/>
    </row>
    <row r="294" spans="1:26" ht="19.5">
      <c r="A294" s="1144"/>
      <c r="B294" s="1145"/>
      <c r="C294" s="1145"/>
      <c r="D294" s="1147"/>
      <c r="E294" s="1181" t="s">
        <v>136</v>
      </c>
      <c r="F294" s="1147"/>
      <c r="G294" s="1148"/>
      <c r="H294" s="422" t="s">
        <v>35</v>
      </c>
      <c r="I294" s="1182">
        <f ca="1">IFERROR(__xludf.DUMMYFUNCTION("IMPORTRANGE(""https://docs.google.com/spreadsheets/d/1QqKyyYR6Q21VydFLVH3TRQUabQu_ym0Zz7PgGX0-kHA/edit?usp=sharing"",""แผน!EB51"")"),20)</f>
        <v>20</v>
      </c>
      <c r="J294" s="1183">
        <v>0</v>
      </c>
      <c r="K294" s="1150">
        <f t="shared" ca="1" si="133"/>
        <v>0</v>
      </c>
      <c r="L294" s="1150"/>
      <c r="M294" s="1150"/>
      <c r="N294" s="1150"/>
      <c r="O294" s="1150"/>
      <c r="P294" s="1150"/>
    </row>
    <row r="295" spans="1:26" ht="19.5">
      <c r="A295" s="1184" t="s">
        <v>137</v>
      </c>
      <c r="B295" s="1185"/>
      <c r="C295" s="1185"/>
      <c r="D295" s="1185"/>
      <c r="E295" s="1186"/>
      <c r="F295" s="1186"/>
      <c r="G295" s="1187"/>
      <c r="H295" s="1188"/>
      <c r="I295" s="1189"/>
      <c r="J295" s="1189"/>
      <c r="K295" s="1190"/>
      <c r="L295" s="1190"/>
      <c r="M295" s="1190"/>
      <c r="N295" s="1190"/>
      <c r="O295" s="1190"/>
      <c r="P295" s="1190"/>
    </row>
    <row r="296" spans="1:26" ht="19.5">
      <c r="A296" s="1191" t="s">
        <v>138</v>
      </c>
      <c r="B296" s="1192"/>
      <c r="C296" s="1192"/>
      <c r="D296" s="1193"/>
      <c r="E296" s="1193"/>
      <c r="F296" s="1193"/>
      <c r="G296" s="1194"/>
      <c r="H296" s="1195"/>
      <c r="I296" s="1196"/>
      <c r="J296" s="1196"/>
      <c r="K296" s="1197"/>
      <c r="L296" s="1197"/>
      <c r="M296" s="1197"/>
      <c r="N296" s="1197"/>
      <c r="O296" s="1197"/>
      <c r="P296" s="1197"/>
    </row>
    <row r="297" spans="1:26" ht="19.5">
      <c r="A297" s="1198"/>
      <c r="B297" s="1199" t="s">
        <v>139</v>
      </c>
      <c r="C297" s="1200"/>
      <c r="D297" s="1200"/>
      <c r="E297" s="1200"/>
      <c r="F297" s="1200"/>
      <c r="G297" s="1201"/>
      <c r="H297" s="443" t="s">
        <v>35</v>
      </c>
      <c r="I297" s="1202">
        <f t="shared" ref="I297:J297" ca="1" si="134">I309</f>
        <v>20</v>
      </c>
      <c r="J297" s="1202">
        <f t="shared" si="134"/>
        <v>20</v>
      </c>
      <c r="K297" s="1203">
        <f ca="1">IF(I297&gt;0,J297*100/I297,0)</f>
        <v>100</v>
      </c>
      <c r="L297" s="1204"/>
      <c r="M297" s="1204"/>
      <c r="N297" s="1204"/>
      <c r="O297" s="1204"/>
      <c r="P297" s="1204"/>
    </row>
    <row r="298" spans="1:26" ht="19.5">
      <c r="A298" s="997"/>
      <c r="B298" s="998"/>
      <c r="C298" s="999" t="s">
        <v>16</v>
      </c>
      <c r="D298" s="1000" t="s">
        <v>17</v>
      </c>
      <c r="E298" s="998"/>
      <c r="F298" s="998"/>
      <c r="G298" s="1001"/>
      <c r="H298" s="152" t="s">
        <v>12</v>
      </c>
      <c r="I298" s="1002"/>
      <c r="J298" s="1002"/>
      <c r="K298" s="1003"/>
      <c r="L298" s="1004">
        <f t="shared" ref="L298:N298" ca="1" si="135">L299+L300</f>
        <v>368400</v>
      </c>
      <c r="M298" s="1004">
        <f t="shared" ca="1" si="135"/>
        <v>272400</v>
      </c>
      <c r="N298" s="1004">
        <f t="shared" ca="1" si="135"/>
        <v>198940.1</v>
      </c>
      <c r="O298" s="1004">
        <f t="shared" ref="O298:O306" ca="1" si="136">IF(L298&gt;0,N298*100/L298,0)</f>
        <v>54.001112920738329</v>
      </c>
      <c r="P298" s="1004">
        <f t="shared" ref="P298:P306" ca="1" si="137">IF(M298&gt;0,N298*100/M298,0)</f>
        <v>73.032342143906021</v>
      </c>
      <c r="Q298" s="880"/>
      <c r="R298" s="880"/>
      <c r="S298" s="880"/>
      <c r="T298" s="880"/>
      <c r="U298" s="880"/>
      <c r="V298" s="880"/>
      <c r="W298" s="880"/>
      <c r="X298" s="880"/>
      <c r="Y298" s="880"/>
      <c r="Z298" s="880"/>
    </row>
    <row r="299" spans="1:26" ht="18.75" hidden="1">
      <c r="A299" s="1005"/>
      <c r="B299" s="895"/>
      <c r="C299" s="895"/>
      <c r="D299" s="895"/>
      <c r="E299" s="896" t="s">
        <v>18</v>
      </c>
      <c r="F299" s="895"/>
      <c r="G299" s="1006"/>
      <c r="H299" s="158" t="s">
        <v>12</v>
      </c>
      <c r="I299" s="898"/>
      <c r="J299" s="898"/>
      <c r="K299" s="899"/>
      <c r="L299" s="899">
        <f t="shared" ref="L299:N300" si="138">L302+L305</f>
        <v>0</v>
      </c>
      <c r="M299" s="899">
        <f t="shared" si="138"/>
        <v>0</v>
      </c>
      <c r="N299" s="899">
        <f t="shared" si="138"/>
        <v>0</v>
      </c>
      <c r="O299" s="899">
        <f t="shared" si="136"/>
        <v>0</v>
      </c>
      <c r="P299" s="899">
        <f t="shared" si="137"/>
        <v>0</v>
      </c>
      <c r="Q299" s="887"/>
      <c r="R299" s="887"/>
      <c r="S299" s="887"/>
      <c r="T299" s="887"/>
      <c r="U299" s="887"/>
      <c r="V299" s="887"/>
      <c r="W299" s="887"/>
      <c r="X299" s="887"/>
      <c r="Y299" s="887"/>
      <c r="Z299" s="887"/>
    </row>
    <row r="300" spans="1:26" ht="18.75" hidden="1">
      <c r="A300" s="1005"/>
      <c r="B300" s="895"/>
      <c r="C300" s="895"/>
      <c r="D300" s="895"/>
      <c r="E300" s="896" t="s">
        <v>19</v>
      </c>
      <c r="F300" s="895"/>
      <c r="G300" s="1006"/>
      <c r="H300" s="158" t="s">
        <v>12</v>
      </c>
      <c r="I300" s="898"/>
      <c r="J300" s="898"/>
      <c r="K300" s="899"/>
      <c r="L300" s="899">
        <f t="shared" ca="1" si="138"/>
        <v>368400</v>
      </c>
      <c r="M300" s="899">
        <f t="shared" ca="1" si="138"/>
        <v>272400</v>
      </c>
      <c r="N300" s="899">
        <f t="shared" ca="1" si="138"/>
        <v>198940.1</v>
      </c>
      <c r="O300" s="899">
        <f t="shared" ca="1" si="136"/>
        <v>54.001112920738329</v>
      </c>
      <c r="P300" s="899">
        <f t="shared" ca="1" si="137"/>
        <v>73.032342143906021</v>
      </c>
      <c r="Q300" s="887"/>
      <c r="R300" s="887"/>
      <c r="S300" s="887"/>
      <c r="T300" s="887"/>
      <c r="U300" s="887"/>
      <c r="V300" s="887"/>
      <c r="W300" s="887"/>
      <c r="X300" s="887"/>
      <c r="Y300" s="887"/>
      <c r="Z300" s="887"/>
    </row>
    <row r="301" spans="1:26" ht="18.75">
      <c r="A301" s="1007"/>
      <c r="B301" s="889"/>
      <c r="C301" s="1008"/>
      <c r="D301" s="890" t="s">
        <v>20</v>
      </c>
      <c r="E301" s="889"/>
      <c r="F301" s="889"/>
      <c r="G301" s="891"/>
      <c r="H301" s="161" t="s">
        <v>12</v>
      </c>
      <c r="I301" s="1009"/>
      <c r="J301" s="1009"/>
      <c r="K301" s="1010"/>
      <c r="L301" s="893">
        <f t="shared" ref="L301:N301" ca="1" si="139">L302+L303</f>
        <v>368400</v>
      </c>
      <c r="M301" s="893">
        <f t="shared" ca="1" si="139"/>
        <v>272400</v>
      </c>
      <c r="N301" s="893">
        <f t="shared" ca="1" si="139"/>
        <v>198940.1</v>
      </c>
      <c r="O301" s="893">
        <f t="shared" ca="1" si="136"/>
        <v>54.001112920738329</v>
      </c>
      <c r="P301" s="893">
        <f t="shared" ca="1" si="137"/>
        <v>73.032342143906021</v>
      </c>
      <c r="Q301" s="880"/>
      <c r="R301" s="880"/>
      <c r="S301" s="880"/>
      <c r="T301" s="880"/>
      <c r="U301" s="880"/>
      <c r="V301" s="880"/>
      <c r="W301" s="880"/>
      <c r="X301" s="880"/>
      <c r="Y301" s="880"/>
      <c r="Z301" s="880"/>
    </row>
    <row r="302" spans="1:26" ht="19.5" hidden="1">
      <c r="A302" s="1005"/>
      <c r="B302" s="895"/>
      <c r="C302" s="1011"/>
      <c r="D302" s="895"/>
      <c r="E302" s="896" t="s">
        <v>36</v>
      </c>
      <c r="F302" s="895"/>
      <c r="G302" s="1006"/>
      <c r="H302" s="165" t="s">
        <v>12</v>
      </c>
      <c r="I302" s="1012"/>
      <c r="J302" s="1012"/>
      <c r="K302" s="1013"/>
      <c r="L302" s="899">
        <v>0</v>
      </c>
      <c r="M302" s="899">
        <v>0</v>
      </c>
      <c r="N302" s="899">
        <v>0</v>
      </c>
      <c r="O302" s="899">
        <f t="shared" si="136"/>
        <v>0</v>
      </c>
      <c r="P302" s="899">
        <f t="shared" si="137"/>
        <v>0</v>
      </c>
      <c r="Q302" s="887"/>
      <c r="R302" s="887"/>
      <c r="S302" s="887"/>
      <c r="T302" s="887"/>
      <c r="U302" s="887"/>
      <c r="V302" s="887"/>
      <c r="W302" s="887"/>
      <c r="X302" s="887"/>
      <c r="Y302" s="887"/>
      <c r="Z302" s="887"/>
    </row>
    <row r="303" spans="1:26" ht="19.5" hidden="1">
      <c r="A303" s="1005"/>
      <c r="B303" s="895"/>
      <c r="C303" s="1011"/>
      <c r="D303" s="895"/>
      <c r="E303" s="896" t="s">
        <v>37</v>
      </c>
      <c r="F303" s="895"/>
      <c r="G303" s="1006"/>
      <c r="H303" s="165" t="s">
        <v>12</v>
      </c>
      <c r="I303" s="1012"/>
      <c r="J303" s="1012"/>
      <c r="K303" s="1013"/>
      <c r="L303" s="899">
        <f ca="1">IFERROR(__xludf.DUMMYFUNCTION("IMPORTRANGE(""https://docs.google.com/spreadsheets/d/1MeEWN-I1oV_STSDYn1IFDPWt_1FKiwhDph83XaGc0o0/edit?usp=sharing"",""งบพรบ!DS51"")"),368400)</f>
        <v>368400</v>
      </c>
      <c r="M303" s="899">
        <f ca="1">IFERROR(__xludf.DUMMYFUNCTION("IMPORTRANGE(""https://docs.google.com/spreadsheets/d/1MeEWN-I1oV_STSDYn1IFDPWt_1FKiwhDph83XaGc0o0/edit?usp=sharing"",""งบพรบ!DX51"")"),272400)</f>
        <v>272400</v>
      </c>
      <c r="N303" s="899">
        <f ca="1">IFERROR(__xludf.DUMMYFUNCTION("IMPORTRANGE(""https://docs.google.com/spreadsheets/d/1MeEWN-I1oV_STSDYn1IFDPWt_1FKiwhDph83XaGc0o0/edit?usp=sharing"",""งบพรบ!DZ51"")"),198940.1)</f>
        <v>198940.1</v>
      </c>
      <c r="O303" s="899">
        <f t="shared" ca="1" si="136"/>
        <v>54.001112920738329</v>
      </c>
      <c r="P303" s="899">
        <f t="shared" ca="1" si="137"/>
        <v>73.032342143906021</v>
      </c>
      <c r="Q303" s="887"/>
      <c r="R303" s="887"/>
      <c r="S303" s="887"/>
      <c r="T303" s="887"/>
      <c r="U303" s="887"/>
      <c r="V303" s="887"/>
      <c r="W303" s="887"/>
      <c r="X303" s="887"/>
      <c r="Y303" s="887"/>
      <c r="Z303" s="887"/>
    </row>
    <row r="304" spans="1:26" ht="18.75">
      <c r="A304" s="1007"/>
      <c r="B304" s="889"/>
      <c r="C304" s="1008"/>
      <c r="D304" s="890" t="s">
        <v>21</v>
      </c>
      <c r="E304" s="889"/>
      <c r="F304" s="889"/>
      <c r="G304" s="891"/>
      <c r="H304" s="168" t="s">
        <v>12</v>
      </c>
      <c r="I304" s="1009"/>
      <c r="J304" s="1009"/>
      <c r="K304" s="1010"/>
      <c r="L304" s="893">
        <f t="shared" ref="L304:N304" ca="1" si="140">L305+L306</f>
        <v>0</v>
      </c>
      <c r="M304" s="893">
        <f t="shared" ca="1" si="140"/>
        <v>0</v>
      </c>
      <c r="N304" s="893">
        <f t="shared" ca="1" si="140"/>
        <v>0</v>
      </c>
      <c r="O304" s="893">
        <f t="shared" ca="1" si="136"/>
        <v>0</v>
      </c>
      <c r="P304" s="893">
        <f t="shared" ca="1" si="137"/>
        <v>0</v>
      </c>
      <c r="Q304" s="880"/>
      <c r="R304" s="880"/>
      <c r="S304" s="880"/>
      <c r="T304" s="880"/>
      <c r="U304" s="880"/>
      <c r="V304" s="880"/>
      <c r="W304" s="880"/>
      <c r="X304" s="880"/>
      <c r="Y304" s="880"/>
      <c r="Z304" s="880"/>
    </row>
    <row r="305" spans="1:26" ht="19.5" hidden="1">
      <c r="A305" s="1005"/>
      <c r="B305" s="895"/>
      <c r="C305" s="1011"/>
      <c r="D305" s="895"/>
      <c r="E305" s="896" t="s">
        <v>18</v>
      </c>
      <c r="F305" s="895"/>
      <c r="G305" s="1006"/>
      <c r="H305" s="165" t="s">
        <v>12</v>
      </c>
      <c r="I305" s="1012"/>
      <c r="J305" s="1012"/>
      <c r="K305" s="1013"/>
      <c r="L305" s="899">
        <v>0</v>
      </c>
      <c r="M305" s="899">
        <v>0</v>
      </c>
      <c r="N305" s="899">
        <v>0</v>
      </c>
      <c r="O305" s="899">
        <f t="shared" si="136"/>
        <v>0</v>
      </c>
      <c r="P305" s="899">
        <f t="shared" si="137"/>
        <v>0</v>
      </c>
      <c r="Q305" s="887"/>
      <c r="R305" s="887"/>
      <c r="S305" s="887"/>
      <c r="T305" s="887"/>
      <c r="U305" s="887"/>
      <c r="V305" s="887"/>
      <c r="W305" s="887"/>
      <c r="X305" s="887"/>
      <c r="Y305" s="887"/>
      <c r="Z305" s="887"/>
    </row>
    <row r="306" spans="1:26" ht="19.5" hidden="1">
      <c r="A306" s="1005"/>
      <c r="B306" s="895"/>
      <c r="C306" s="1011"/>
      <c r="D306" s="895"/>
      <c r="E306" s="896" t="s">
        <v>19</v>
      </c>
      <c r="F306" s="895"/>
      <c r="G306" s="1006"/>
      <c r="H306" s="169" t="s">
        <v>12</v>
      </c>
      <c r="I306" s="1012"/>
      <c r="J306" s="1012"/>
      <c r="K306" s="1013"/>
      <c r="L306" s="899">
        <f ca="1">IFERROR(__xludf.DUMMYFUNCTION("IMPORTRANGE(""https://docs.google.com/spreadsheets/d/1MeEWN-I1oV_STSDYn1IFDPWt_1FKiwhDph83XaGc0o0/edit?usp=sharing"",""งบพรบ!DV51"")"),0)</f>
        <v>0</v>
      </c>
      <c r="M306" s="899">
        <f ca="1">IFERROR(__xludf.DUMMYFUNCTION("IMPORTRANGE(""https://docs.google.com/spreadsheets/d/1MeEWN-I1oV_STSDYn1IFDPWt_1FKiwhDph83XaGc0o0/edit?usp=sharing"",""งบพรบ!DY51"")"),0)</f>
        <v>0</v>
      </c>
      <c r="N306" s="899">
        <f ca="1">IFERROR(__xludf.DUMMYFUNCTION("IMPORTRANGE(""https://docs.google.com/spreadsheets/d/1MeEWN-I1oV_STSDYn1IFDPWt_1FKiwhDph83XaGc0o0/edit?usp=sharing"",""งบพรบ!EA51"")"),0)</f>
        <v>0</v>
      </c>
      <c r="O306" s="899">
        <f t="shared" ca="1" si="136"/>
        <v>0</v>
      </c>
      <c r="P306" s="899">
        <f t="shared" ca="1" si="137"/>
        <v>0</v>
      </c>
      <c r="Q306" s="887"/>
      <c r="R306" s="887"/>
      <c r="S306" s="887"/>
      <c r="T306" s="887"/>
      <c r="U306" s="887"/>
      <c r="V306" s="887"/>
      <c r="W306" s="887"/>
      <c r="X306" s="887"/>
      <c r="Y306" s="887"/>
      <c r="Z306" s="887"/>
    </row>
    <row r="307" spans="1:26" ht="19.5">
      <c r="A307" s="1014"/>
      <c r="B307" s="1015"/>
      <c r="C307" s="1011" t="s">
        <v>16</v>
      </c>
      <c r="D307" s="1016" t="s">
        <v>38</v>
      </c>
      <c r="E307" s="1017"/>
      <c r="F307" s="1017"/>
      <c r="G307" s="1018"/>
      <c r="H307" s="1019"/>
      <c r="I307" s="892"/>
      <c r="J307" s="892"/>
      <c r="K307" s="893"/>
      <c r="L307" s="893"/>
      <c r="M307" s="893"/>
      <c r="N307" s="893"/>
      <c r="O307" s="893"/>
      <c r="P307" s="893"/>
    </row>
    <row r="308" spans="1:26" ht="18.75">
      <c r="A308" s="1014"/>
      <c r="B308" s="1015"/>
      <c r="C308" s="1015"/>
      <c r="D308" s="1021" t="s">
        <v>140</v>
      </c>
      <c r="E308" s="1021"/>
      <c r="F308" s="1021"/>
      <c r="G308" s="1023"/>
      <c r="H308" s="761"/>
      <c r="I308" s="892"/>
      <c r="J308" s="1024">
        <v>1</v>
      </c>
      <c r="K308" s="893"/>
      <c r="L308" s="893"/>
      <c r="M308" s="893"/>
      <c r="N308" s="893"/>
      <c r="O308" s="893"/>
      <c r="P308" s="893"/>
    </row>
    <row r="309" spans="1:26" ht="18.75">
      <c r="A309" s="1014"/>
      <c r="B309" s="1015"/>
      <c r="C309" s="1015"/>
      <c r="D309" s="1021" t="s">
        <v>141</v>
      </c>
      <c r="E309" s="1021"/>
      <c r="F309" s="1021"/>
      <c r="G309" s="1023"/>
      <c r="H309" s="761" t="s">
        <v>35</v>
      </c>
      <c r="I309" s="892">
        <f ca="1">IFERROR(__xludf.DUMMYFUNCTION("IMPORTRANGE(""https://docs.google.com/spreadsheets/d/1QqKyyYR6Q21VydFLVH3TRQUabQu_ym0Zz7PgGX0-kHA/edit?usp=sharing"",""แผน!ED51"")"),20)</f>
        <v>20</v>
      </c>
      <c r="J309" s="1024">
        <v>20</v>
      </c>
      <c r="K309" s="893">
        <f t="shared" ref="K309:K312" ca="1" si="141">IF(I309&gt;0,J309*100/I309,0)</f>
        <v>100</v>
      </c>
      <c r="L309" s="893"/>
      <c r="M309" s="893"/>
      <c r="N309" s="893"/>
      <c r="O309" s="893"/>
      <c r="P309" s="893"/>
    </row>
    <row r="310" spans="1:26" ht="18.75">
      <c r="A310" s="1014"/>
      <c r="B310" s="1015"/>
      <c r="C310" s="1015"/>
      <c r="D310" s="1021" t="s">
        <v>142</v>
      </c>
      <c r="E310" s="1021"/>
      <c r="F310" s="1021"/>
      <c r="G310" s="1023"/>
      <c r="H310" s="761" t="s">
        <v>35</v>
      </c>
      <c r="I310" s="892">
        <f ca="1">IFERROR(__xludf.DUMMYFUNCTION("IMPORTRANGE(""https://docs.google.com/spreadsheets/d/1QqKyyYR6Q21VydFLVH3TRQUabQu_ym0Zz7PgGX0-kHA/edit?usp=sharing"",""แผน!ED51"")"),20)</f>
        <v>20</v>
      </c>
      <c r="J310" s="1024">
        <v>20</v>
      </c>
      <c r="K310" s="893">
        <f t="shared" ca="1" si="141"/>
        <v>100</v>
      </c>
      <c r="L310" s="893"/>
      <c r="M310" s="893"/>
      <c r="N310" s="893"/>
      <c r="O310" s="893"/>
      <c r="P310" s="893"/>
    </row>
    <row r="311" spans="1:26" ht="18.75">
      <c r="A311" s="1014"/>
      <c r="B311" s="1015"/>
      <c r="C311" s="1015"/>
      <c r="D311" s="1021" t="s">
        <v>59</v>
      </c>
      <c r="E311" s="1021"/>
      <c r="F311" s="1021"/>
      <c r="G311" s="1023"/>
      <c r="H311" s="761" t="s">
        <v>35</v>
      </c>
      <c r="I311" s="892">
        <f ca="1">IFERROR(__xludf.DUMMYFUNCTION("IMPORTRANGE(""https://docs.google.com/spreadsheets/d/1QqKyyYR6Q21VydFLVH3TRQUabQu_ym0Zz7PgGX0-kHA/edit?usp=sharing"",""แผน!ED51"")"),20)</f>
        <v>20</v>
      </c>
      <c r="J311" s="1024">
        <v>0</v>
      </c>
      <c r="K311" s="893">
        <f t="shared" ca="1" si="141"/>
        <v>0</v>
      </c>
      <c r="L311" s="893"/>
      <c r="M311" s="893"/>
      <c r="N311" s="893"/>
      <c r="O311" s="893"/>
      <c r="P311" s="893"/>
    </row>
    <row r="312" spans="1:26" ht="18.75">
      <c r="A312" s="1014"/>
      <c r="B312" s="1015"/>
      <c r="C312" s="1015"/>
      <c r="D312" s="1021" t="s">
        <v>143</v>
      </c>
      <c r="E312" s="1021"/>
      <c r="F312" s="1021"/>
      <c r="G312" s="1023"/>
      <c r="H312" s="761" t="s">
        <v>35</v>
      </c>
      <c r="I312" s="892">
        <f ca="1">IFERROR(__xludf.DUMMYFUNCTION("IMPORTRANGE(""https://docs.google.com/spreadsheets/d/1QqKyyYR6Q21VydFLVH3TRQUabQu_ym0Zz7PgGX0-kHA/edit?usp=sharing"",""แผน!EE51"")"),4)</f>
        <v>4</v>
      </c>
      <c r="J312" s="1024">
        <v>4</v>
      </c>
      <c r="K312" s="893">
        <f t="shared" ca="1" si="141"/>
        <v>100</v>
      </c>
      <c r="L312" s="893"/>
      <c r="M312" s="893"/>
      <c r="N312" s="893"/>
      <c r="O312" s="893"/>
      <c r="P312" s="893"/>
    </row>
    <row r="313" spans="1:26" ht="19.5" hidden="1">
      <c r="A313" s="1191" t="s">
        <v>144</v>
      </c>
      <c r="B313" s="1192"/>
      <c r="C313" s="1192"/>
      <c r="D313" s="1193"/>
      <c r="E313" s="1192"/>
      <c r="F313" s="1192"/>
      <c r="G313" s="1192"/>
      <c r="H313" s="1205"/>
      <c r="I313" s="1196"/>
      <c r="J313" s="1196"/>
      <c r="K313" s="1197"/>
      <c r="L313" s="1197"/>
      <c r="M313" s="1197"/>
      <c r="N313" s="1197"/>
      <c r="O313" s="1197"/>
      <c r="P313" s="1197"/>
    </row>
    <row r="314" spans="1:26" ht="19.5" hidden="1">
      <c r="A314" s="1206"/>
      <c r="B314" s="1199" t="s">
        <v>145</v>
      </c>
      <c r="C314" s="1207"/>
      <c r="D314" s="1208"/>
      <c r="E314" s="1200"/>
      <c r="F314" s="1200"/>
      <c r="G314" s="1201"/>
      <c r="H314" s="443" t="s">
        <v>146</v>
      </c>
      <c r="I314" s="1202">
        <f t="shared" ref="I314:J314" ca="1" si="142">I325</f>
        <v>0</v>
      </c>
      <c r="J314" s="1202">
        <f t="shared" si="142"/>
        <v>0</v>
      </c>
      <c r="K314" s="1203">
        <f ca="1">IF(I314&gt;0,J314*100/I314,0)</f>
        <v>0</v>
      </c>
      <c r="L314" s="1204"/>
      <c r="M314" s="1204"/>
      <c r="N314" s="1204"/>
      <c r="O314" s="1204"/>
      <c r="P314" s="1204"/>
    </row>
    <row r="315" spans="1:26" ht="19.5" hidden="1">
      <c r="A315" s="997"/>
      <c r="B315" s="998"/>
      <c r="C315" s="999" t="s">
        <v>16</v>
      </c>
      <c r="D315" s="1000" t="s">
        <v>17</v>
      </c>
      <c r="E315" s="998"/>
      <c r="F315" s="998"/>
      <c r="G315" s="1001"/>
      <c r="H315" s="152" t="s">
        <v>12</v>
      </c>
      <c r="I315" s="1002"/>
      <c r="J315" s="1002"/>
      <c r="K315" s="1003"/>
      <c r="L315" s="1004">
        <f t="shared" ref="L315:N315" ca="1" si="143">L316+L317</f>
        <v>0</v>
      </c>
      <c r="M315" s="1004">
        <f t="shared" ca="1" si="143"/>
        <v>0</v>
      </c>
      <c r="N315" s="1004">
        <f t="shared" ca="1" si="143"/>
        <v>0</v>
      </c>
      <c r="O315" s="1004">
        <f t="shared" ref="O315:O323" ca="1" si="144">IF(L315&gt;0,N315*100/L315,0)</f>
        <v>0</v>
      </c>
      <c r="P315" s="1004">
        <f t="shared" ref="P315:P323" ca="1" si="145">IF(M315&gt;0,N315*100/M315,0)</f>
        <v>0</v>
      </c>
      <c r="Q315" s="880"/>
      <c r="R315" s="880"/>
      <c r="S315" s="880"/>
      <c r="T315" s="880"/>
      <c r="U315" s="880"/>
      <c r="V315" s="880"/>
      <c r="W315" s="880"/>
      <c r="X315" s="880"/>
      <c r="Y315" s="880"/>
      <c r="Z315" s="880"/>
    </row>
    <row r="316" spans="1:26" ht="18.75" hidden="1">
      <c r="A316" s="1005"/>
      <c r="B316" s="895"/>
      <c r="C316" s="895"/>
      <c r="D316" s="895"/>
      <c r="E316" s="896" t="s">
        <v>18</v>
      </c>
      <c r="F316" s="895"/>
      <c r="G316" s="1006"/>
      <c r="H316" s="158" t="s">
        <v>12</v>
      </c>
      <c r="I316" s="898"/>
      <c r="J316" s="898"/>
      <c r="K316" s="899"/>
      <c r="L316" s="899">
        <f t="shared" ref="L316:N317" si="146">L319+L322</f>
        <v>0</v>
      </c>
      <c r="M316" s="899">
        <f t="shared" si="146"/>
        <v>0</v>
      </c>
      <c r="N316" s="899">
        <f t="shared" si="146"/>
        <v>0</v>
      </c>
      <c r="O316" s="899">
        <f t="shared" si="144"/>
        <v>0</v>
      </c>
      <c r="P316" s="899">
        <f t="shared" si="145"/>
        <v>0</v>
      </c>
      <c r="Q316" s="887"/>
      <c r="R316" s="887"/>
      <c r="S316" s="887"/>
      <c r="T316" s="887"/>
      <c r="U316" s="887"/>
      <c r="V316" s="887"/>
      <c r="W316" s="887"/>
      <c r="X316" s="887"/>
      <c r="Y316" s="887"/>
      <c r="Z316" s="887"/>
    </row>
    <row r="317" spans="1:26" ht="18.75" hidden="1">
      <c r="A317" s="1005"/>
      <c r="B317" s="895"/>
      <c r="C317" s="895"/>
      <c r="D317" s="895"/>
      <c r="E317" s="896" t="s">
        <v>19</v>
      </c>
      <c r="F317" s="895"/>
      <c r="G317" s="1006"/>
      <c r="H317" s="158" t="s">
        <v>12</v>
      </c>
      <c r="I317" s="898"/>
      <c r="J317" s="898"/>
      <c r="K317" s="899"/>
      <c r="L317" s="899">
        <f t="shared" ca="1" si="146"/>
        <v>0</v>
      </c>
      <c r="M317" s="899">
        <f t="shared" ca="1" si="146"/>
        <v>0</v>
      </c>
      <c r="N317" s="899">
        <f t="shared" ca="1" si="146"/>
        <v>0</v>
      </c>
      <c r="O317" s="899">
        <f t="shared" ca="1" si="144"/>
        <v>0</v>
      </c>
      <c r="P317" s="899">
        <f t="shared" ca="1" si="145"/>
        <v>0</v>
      </c>
      <c r="Q317" s="887"/>
      <c r="R317" s="887"/>
      <c r="S317" s="887"/>
      <c r="T317" s="887"/>
      <c r="U317" s="887"/>
      <c r="V317" s="887"/>
      <c r="W317" s="887"/>
      <c r="X317" s="887"/>
      <c r="Y317" s="887"/>
      <c r="Z317" s="887"/>
    </row>
    <row r="318" spans="1:26" ht="18.75" hidden="1">
      <c r="A318" s="1007"/>
      <c r="B318" s="889"/>
      <c r="C318" s="1008"/>
      <c r="D318" s="890" t="s">
        <v>20</v>
      </c>
      <c r="E318" s="889"/>
      <c r="F318" s="889"/>
      <c r="G318" s="891"/>
      <c r="H318" s="161" t="s">
        <v>12</v>
      </c>
      <c r="I318" s="1009"/>
      <c r="J318" s="1009"/>
      <c r="K318" s="1010"/>
      <c r="L318" s="893">
        <f t="shared" ref="L318:N318" ca="1" si="147">L319+L320</f>
        <v>0</v>
      </c>
      <c r="M318" s="893">
        <f t="shared" ca="1" si="147"/>
        <v>0</v>
      </c>
      <c r="N318" s="893">
        <f t="shared" ca="1" si="147"/>
        <v>0</v>
      </c>
      <c r="O318" s="893">
        <f t="shared" ca="1" si="144"/>
        <v>0</v>
      </c>
      <c r="P318" s="893">
        <f t="shared" ca="1" si="145"/>
        <v>0</v>
      </c>
      <c r="Q318" s="880"/>
      <c r="R318" s="880"/>
      <c r="S318" s="880"/>
      <c r="T318" s="880"/>
      <c r="U318" s="880"/>
      <c r="V318" s="880"/>
      <c r="W318" s="880"/>
      <c r="X318" s="880"/>
      <c r="Y318" s="880"/>
      <c r="Z318" s="880"/>
    </row>
    <row r="319" spans="1:26" ht="19.5" hidden="1">
      <c r="A319" s="1005"/>
      <c r="B319" s="895"/>
      <c r="C319" s="1011"/>
      <c r="D319" s="895"/>
      <c r="E319" s="896" t="s">
        <v>36</v>
      </c>
      <c r="F319" s="895"/>
      <c r="G319" s="1006"/>
      <c r="H319" s="165" t="s">
        <v>12</v>
      </c>
      <c r="I319" s="1012"/>
      <c r="J319" s="1012"/>
      <c r="K319" s="1013"/>
      <c r="L319" s="899">
        <v>0</v>
      </c>
      <c r="M319" s="899">
        <v>0</v>
      </c>
      <c r="N319" s="899">
        <v>0</v>
      </c>
      <c r="O319" s="899">
        <f t="shared" si="144"/>
        <v>0</v>
      </c>
      <c r="P319" s="899">
        <f t="shared" si="145"/>
        <v>0</v>
      </c>
      <c r="Q319" s="887"/>
      <c r="R319" s="887"/>
      <c r="S319" s="887"/>
      <c r="T319" s="887"/>
      <c r="U319" s="887"/>
      <c r="V319" s="887"/>
      <c r="W319" s="887"/>
      <c r="X319" s="887"/>
      <c r="Y319" s="887"/>
      <c r="Z319" s="887"/>
    </row>
    <row r="320" spans="1:26" ht="19.5" hidden="1">
      <c r="A320" s="1005"/>
      <c r="B320" s="895"/>
      <c r="C320" s="1011"/>
      <c r="D320" s="895"/>
      <c r="E320" s="896" t="s">
        <v>37</v>
      </c>
      <c r="F320" s="895"/>
      <c r="G320" s="1006"/>
      <c r="H320" s="165" t="s">
        <v>12</v>
      </c>
      <c r="I320" s="1012"/>
      <c r="J320" s="1012"/>
      <c r="K320" s="1013"/>
      <c r="L320" s="899">
        <f ca="1">IFERROR(__xludf.DUMMYFUNCTION("IMPORTRANGE(""https://docs.google.com/spreadsheets/d/1MeEWN-I1oV_STSDYn1IFDPWt_1FKiwhDph83XaGc0o0/edit?usp=sharing"",""งบพรบ!EC51"")"),0)</f>
        <v>0</v>
      </c>
      <c r="M320" s="899">
        <f ca="1">IFERROR(__xludf.DUMMYFUNCTION("IMPORTRANGE(""https://docs.google.com/spreadsheets/d/1MeEWN-I1oV_STSDYn1IFDPWt_1FKiwhDph83XaGc0o0/edit?usp=sharing"",""งบพรบ!EH51"")"),0)</f>
        <v>0</v>
      </c>
      <c r="N320" s="899">
        <f ca="1">IFERROR(__xludf.DUMMYFUNCTION("IMPORTRANGE(""https://docs.google.com/spreadsheets/d/1MeEWN-I1oV_STSDYn1IFDPWt_1FKiwhDph83XaGc0o0/edit?usp=sharing"",""งบพรบ!EJ51"")"),0)</f>
        <v>0</v>
      </c>
      <c r="O320" s="899">
        <f t="shared" ca="1" si="144"/>
        <v>0</v>
      </c>
      <c r="P320" s="899">
        <f t="shared" ca="1" si="145"/>
        <v>0</v>
      </c>
      <c r="Q320" s="887"/>
      <c r="R320" s="887"/>
      <c r="S320" s="887"/>
      <c r="T320" s="887"/>
      <c r="U320" s="887"/>
      <c r="V320" s="887"/>
      <c r="W320" s="887"/>
      <c r="X320" s="887"/>
      <c r="Y320" s="887"/>
      <c r="Z320" s="887"/>
    </row>
    <row r="321" spans="1:26" ht="18.75" hidden="1">
      <c r="A321" s="1007"/>
      <c r="B321" s="889"/>
      <c r="C321" s="1008"/>
      <c r="D321" s="890" t="s">
        <v>21</v>
      </c>
      <c r="E321" s="889"/>
      <c r="F321" s="889"/>
      <c r="G321" s="891"/>
      <c r="H321" s="168" t="s">
        <v>12</v>
      </c>
      <c r="I321" s="1009"/>
      <c r="J321" s="1009"/>
      <c r="K321" s="1010"/>
      <c r="L321" s="893">
        <f t="shared" ref="L321:N321" ca="1" si="148">L322+L323</f>
        <v>0</v>
      </c>
      <c r="M321" s="893">
        <f t="shared" ca="1" si="148"/>
        <v>0</v>
      </c>
      <c r="N321" s="893">
        <f t="shared" ca="1" si="148"/>
        <v>0</v>
      </c>
      <c r="O321" s="893">
        <f t="shared" ca="1" si="144"/>
        <v>0</v>
      </c>
      <c r="P321" s="893">
        <f t="shared" ca="1" si="145"/>
        <v>0</v>
      </c>
      <c r="Q321" s="880"/>
      <c r="R321" s="880"/>
      <c r="S321" s="880"/>
      <c r="T321" s="880"/>
      <c r="U321" s="880"/>
      <c r="V321" s="880"/>
      <c r="W321" s="880"/>
      <c r="X321" s="880"/>
      <c r="Y321" s="880"/>
      <c r="Z321" s="880"/>
    </row>
    <row r="322" spans="1:26" ht="19.5" hidden="1">
      <c r="A322" s="1005"/>
      <c r="B322" s="895"/>
      <c r="C322" s="1011"/>
      <c r="D322" s="895"/>
      <c r="E322" s="896" t="s">
        <v>18</v>
      </c>
      <c r="F322" s="895"/>
      <c r="G322" s="1006"/>
      <c r="H322" s="165" t="s">
        <v>12</v>
      </c>
      <c r="I322" s="1012"/>
      <c r="J322" s="1012"/>
      <c r="K322" s="1013"/>
      <c r="L322" s="899">
        <v>0</v>
      </c>
      <c r="M322" s="899">
        <v>0</v>
      </c>
      <c r="N322" s="899">
        <v>0</v>
      </c>
      <c r="O322" s="899">
        <f t="shared" si="144"/>
        <v>0</v>
      </c>
      <c r="P322" s="899">
        <f t="shared" si="145"/>
        <v>0</v>
      </c>
      <c r="Q322" s="887"/>
      <c r="R322" s="887"/>
      <c r="S322" s="887"/>
      <c r="T322" s="887"/>
      <c r="U322" s="887"/>
      <c r="V322" s="887"/>
      <c r="W322" s="887"/>
      <c r="X322" s="887"/>
      <c r="Y322" s="887"/>
      <c r="Z322" s="887"/>
    </row>
    <row r="323" spans="1:26" ht="19.5" hidden="1">
      <c r="A323" s="1005"/>
      <c r="B323" s="895"/>
      <c r="C323" s="1011"/>
      <c r="D323" s="895"/>
      <c r="E323" s="896" t="s">
        <v>19</v>
      </c>
      <c r="F323" s="895"/>
      <c r="G323" s="1006"/>
      <c r="H323" s="169" t="s">
        <v>12</v>
      </c>
      <c r="I323" s="1012"/>
      <c r="J323" s="1012"/>
      <c r="K323" s="1013"/>
      <c r="L323" s="899">
        <f ca="1">IFERROR(__xludf.DUMMYFUNCTION("IMPORTRANGE(""https://docs.google.com/spreadsheets/d/1MeEWN-I1oV_STSDYn1IFDPWt_1FKiwhDph83XaGc0o0/edit?usp=sharing"",""งบพรบ!EF51"")"),0)</f>
        <v>0</v>
      </c>
      <c r="M323" s="899">
        <f ca="1">IFERROR(__xludf.DUMMYFUNCTION("IMPORTRANGE(""https://docs.google.com/spreadsheets/d/1MeEWN-I1oV_STSDYn1IFDPWt_1FKiwhDph83XaGc0o0/edit?usp=sharing"",""งบพรบ!EI51"")"),0)</f>
        <v>0</v>
      </c>
      <c r="N323" s="899">
        <f ca="1">IFERROR(__xludf.DUMMYFUNCTION("IMPORTRANGE(""https://docs.google.com/spreadsheets/d/1MeEWN-I1oV_STSDYn1IFDPWt_1FKiwhDph83XaGc0o0/edit?usp=sharing"",""งบพรบ!EK51"")"),0)</f>
        <v>0</v>
      </c>
      <c r="O323" s="899">
        <f t="shared" ca="1" si="144"/>
        <v>0</v>
      </c>
      <c r="P323" s="899">
        <f t="shared" ca="1" si="145"/>
        <v>0</v>
      </c>
      <c r="Q323" s="887"/>
      <c r="R323" s="887"/>
      <c r="S323" s="887"/>
      <c r="T323" s="887"/>
      <c r="U323" s="887"/>
      <c r="V323" s="887"/>
      <c r="W323" s="887"/>
      <c r="X323" s="887"/>
      <c r="Y323" s="887"/>
      <c r="Z323" s="887"/>
    </row>
    <row r="324" spans="1:26" ht="19.5" hidden="1">
      <c r="A324" s="1014"/>
      <c r="B324" s="1015"/>
      <c r="C324" s="1011" t="s">
        <v>16</v>
      </c>
      <c r="D324" s="1016" t="s">
        <v>38</v>
      </c>
      <c r="E324" s="1017"/>
      <c r="F324" s="1017"/>
      <c r="G324" s="1018"/>
      <c r="H324" s="1019"/>
      <c r="I324" s="1009"/>
      <c r="J324" s="892"/>
      <c r="K324" s="893"/>
      <c r="L324" s="893"/>
      <c r="M324" s="893"/>
      <c r="N324" s="893"/>
      <c r="O324" s="1010"/>
      <c r="P324" s="1010"/>
    </row>
    <row r="325" spans="1:26" ht="18.75" hidden="1">
      <c r="A325" s="1014"/>
      <c r="B325" s="1015"/>
      <c r="C325" s="1015"/>
      <c r="D325" s="1020" t="s">
        <v>147</v>
      </c>
      <c r="E325" s="1022"/>
      <c r="F325" s="1021"/>
      <c r="G325" s="1023"/>
      <c r="H325" s="621" t="s">
        <v>146</v>
      </c>
      <c r="I325" s="892">
        <f ca="1">IFERROR(__xludf.DUMMYFUNCTION("IMPORTRANGE(""https://docs.google.com/spreadsheets/d/1QqKyyYR6Q21VydFLVH3TRQUabQu_ym0Zz7PgGX0-kHA/edit?usp=sharing"",""แผน!EF51"")"),0)</f>
        <v>0</v>
      </c>
      <c r="J325" s="1024">
        <v>0</v>
      </c>
      <c r="K325" s="893">
        <f ca="1">IF(I325&gt;0,J325*100/I325,0)</f>
        <v>0</v>
      </c>
      <c r="L325" s="893"/>
      <c r="M325" s="893"/>
      <c r="N325" s="893"/>
      <c r="O325" s="1010"/>
      <c r="P325" s="1010"/>
    </row>
    <row r="326" spans="1:26" ht="19.5">
      <c r="A326" s="1191" t="s">
        <v>148</v>
      </c>
      <c r="B326" s="1192"/>
      <c r="C326" s="1192"/>
      <c r="D326" s="1193"/>
      <c r="E326" s="1192"/>
      <c r="F326" s="1192"/>
      <c r="G326" s="1192"/>
      <c r="H326" s="1205"/>
      <c r="I326" s="1196"/>
      <c r="J326" s="1196"/>
      <c r="K326" s="1197"/>
      <c r="L326" s="1197"/>
      <c r="M326" s="1197"/>
      <c r="N326" s="1197"/>
      <c r="O326" s="1197"/>
      <c r="P326" s="1197"/>
    </row>
    <row r="327" spans="1:26" ht="19.5">
      <c r="A327" s="1198"/>
      <c r="B327" s="1199" t="s">
        <v>149</v>
      </c>
      <c r="C327" s="1208"/>
      <c r="D327" s="1200"/>
      <c r="E327" s="1200"/>
      <c r="F327" s="1200"/>
      <c r="G327" s="1201"/>
      <c r="H327" s="443" t="s">
        <v>35</v>
      </c>
      <c r="I327" s="1202">
        <f ca="1">IFERROR(__xludf.DUMMYFUNCTION("IMPORTRANGE(""https://docs.google.com/spreadsheets/d/1QqKyyYR6Q21VydFLVH3TRQUabQu_ym0Zz7PgGX0-kHA/edit?usp=sharing"",""แผน!EG51"")"),6500)</f>
        <v>6500</v>
      </c>
      <c r="J327" s="1202">
        <f ca="1">J338+J341+J342+J343</f>
        <v>10504</v>
      </c>
      <c r="K327" s="1203">
        <f ca="1">IF(I327&gt;0,J327*100/I327,0)</f>
        <v>161.6</v>
      </c>
      <c r="L327" s="1204"/>
      <c r="M327" s="1204"/>
      <c r="N327" s="1204"/>
      <c r="O327" s="1204"/>
      <c r="P327" s="1204"/>
    </row>
    <row r="328" spans="1:26" ht="19.5">
      <c r="A328" s="997"/>
      <c r="B328" s="998"/>
      <c r="C328" s="999" t="s">
        <v>16</v>
      </c>
      <c r="D328" s="1000" t="s">
        <v>17</v>
      </c>
      <c r="E328" s="998"/>
      <c r="F328" s="998"/>
      <c r="G328" s="1001"/>
      <c r="H328" s="152" t="s">
        <v>12</v>
      </c>
      <c r="I328" s="1002"/>
      <c r="J328" s="1002"/>
      <c r="K328" s="1003"/>
      <c r="L328" s="1004">
        <f t="shared" ref="L328:N328" ca="1" si="149">L329+L330</f>
        <v>188000</v>
      </c>
      <c r="M328" s="1004">
        <f t="shared" ca="1" si="149"/>
        <v>143500</v>
      </c>
      <c r="N328" s="1004">
        <f t="shared" ca="1" si="149"/>
        <v>97010.8</v>
      </c>
      <c r="O328" s="1004">
        <f t="shared" ref="O328:O336" ca="1" si="150">IF(L328&gt;0,N328*100/L328,0)</f>
        <v>51.601489361702129</v>
      </c>
      <c r="P328" s="1004">
        <f t="shared" ref="P328:P336" ca="1" si="151">IF(M328&gt;0,N328*100/M328,0)</f>
        <v>67.603344947735195</v>
      </c>
      <c r="Q328" s="880"/>
      <c r="R328" s="880"/>
      <c r="S328" s="880"/>
      <c r="T328" s="880"/>
      <c r="U328" s="880"/>
      <c r="V328" s="880"/>
      <c r="W328" s="880"/>
      <c r="X328" s="880"/>
      <c r="Y328" s="880"/>
      <c r="Z328" s="880"/>
    </row>
    <row r="329" spans="1:26" ht="18.75" hidden="1">
      <c r="A329" s="1005"/>
      <c r="B329" s="895"/>
      <c r="C329" s="895"/>
      <c r="D329" s="895"/>
      <c r="E329" s="896" t="s">
        <v>18</v>
      </c>
      <c r="F329" s="895"/>
      <c r="G329" s="1006"/>
      <c r="H329" s="158" t="s">
        <v>12</v>
      </c>
      <c r="I329" s="898"/>
      <c r="J329" s="898"/>
      <c r="K329" s="899"/>
      <c r="L329" s="899">
        <f t="shared" ref="L329:N330" si="152">L332+L335</f>
        <v>0</v>
      </c>
      <c r="M329" s="899">
        <f t="shared" si="152"/>
        <v>0</v>
      </c>
      <c r="N329" s="899">
        <f t="shared" si="152"/>
        <v>0</v>
      </c>
      <c r="O329" s="899">
        <f t="shared" si="150"/>
        <v>0</v>
      </c>
      <c r="P329" s="899">
        <f t="shared" si="151"/>
        <v>0</v>
      </c>
      <c r="Q329" s="887"/>
      <c r="R329" s="887"/>
      <c r="S329" s="887"/>
      <c r="T329" s="887"/>
      <c r="U329" s="887"/>
      <c r="V329" s="887"/>
      <c r="W329" s="887"/>
      <c r="X329" s="887"/>
      <c r="Y329" s="887"/>
      <c r="Z329" s="887"/>
    </row>
    <row r="330" spans="1:26" ht="18.75" hidden="1">
      <c r="A330" s="1005"/>
      <c r="B330" s="895"/>
      <c r="C330" s="895"/>
      <c r="D330" s="895"/>
      <c r="E330" s="896" t="s">
        <v>19</v>
      </c>
      <c r="F330" s="895"/>
      <c r="G330" s="1006"/>
      <c r="H330" s="158" t="s">
        <v>12</v>
      </c>
      <c r="I330" s="898"/>
      <c r="J330" s="898"/>
      <c r="K330" s="899"/>
      <c r="L330" s="899">
        <f t="shared" ca="1" si="152"/>
        <v>188000</v>
      </c>
      <c r="M330" s="899">
        <f t="shared" ca="1" si="152"/>
        <v>143500</v>
      </c>
      <c r="N330" s="899">
        <f t="shared" ca="1" si="152"/>
        <v>97010.8</v>
      </c>
      <c r="O330" s="899">
        <f t="shared" ca="1" si="150"/>
        <v>51.601489361702129</v>
      </c>
      <c r="P330" s="899">
        <f t="shared" ca="1" si="151"/>
        <v>67.603344947735195</v>
      </c>
      <c r="Q330" s="887"/>
      <c r="R330" s="887"/>
      <c r="S330" s="887"/>
      <c r="T330" s="887"/>
      <c r="U330" s="887"/>
      <c r="V330" s="887"/>
      <c r="W330" s="887"/>
      <c r="X330" s="887"/>
      <c r="Y330" s="887"/>
      <c r="Z330" s="887"/>
    </row>
    <row r="331" spans="1:26" ht="18.75">
      <c r="A331" s="1007"/>
      <c r="B331" s="889"/>
      <c r="C331" s="1008"/>
      <c r="D331" s="890" t="s">
        <v>20</v>
      </c>
      <c r="E331" s="889"/>
      <c r="F331" s="889"/>
      <c r="G331" s="891"/>
      <c r="H331" s="161" t="s">
        <v>12</v>
      </c>
      <c r="I331" s="1009"/>
      <c r="J331" s="1009"/>
      <c r="K331" s="1010"/>
      <c r="L331" s="893">
        <f t="shared" ref="L331:N331" ca="1" si="153">L332+L333</f>
        <v>188000</v>
      </c>
      <c r="M331" s="893">
        <f t="shared" ca="1" si="153"/>
        <v>143500</v>
      </c>
      <c r="N331" s="893">
        <f t="shared" ca="1" si="153"/>
        <v>97010.8</v>
      </c>
      <c r="O331" s="893">
        <f t="shared" ca="1" si="150"/>
        <v>51.601489361702129</v>
      </c>
      <c r="P331" s="893">
        <f t="shared" ca="1" si="151"/>
        <v>67.603344947735195</v>
      </c>
      <c r="Q331" s="880"/>
      <c r="R331" s="880"/>
      <c r="S331" s="880"/>
      <c r="T331" s="880"/>
      <c r="U331" s="880"/>
      <c r="V331" s="880"/>
      <c r="W331" s="880"/>
      <c r="X331" s="880"/>
      <c r="Y331" s="880"/>
      <c r="Z331" s="880"/>
    </row>
    <row r="332" spans="1:26" ht="19.5" hidden="1">
      <c r="A332" s="1005"/>
      <c r="B332" s="895"/>
      <c r="C332" s="1011"/>
      <c r="D332" s="895"/>
      <c r="E332" s="896" t="s">
        <v>36</v>
      </c>
      <c r="F332" s="895"/>
      <c r="G332" s="1006"/>
      <c r="H332" s="165" t="s">
        <v>12</v>
      </c>
      <c r="I332" s="1012"/>
      <c r="J332" s="1012"/>
      <c r="K332" s="1013"/>
      <c r="L332" s="899">
        <v>0</v>
      </c>
      <c r="M332" s="899">
        <v>0</v>
      </c>
      <c r="N332" s="899">
        <v>0</v>
      </c>
      <c r="O332" s="899">
        <f t="shared" si="150"/>
        <v>0</v>
      </c>
      <c r="P332" s="899">
        <f t="shared" si="151"/>
        <v>0</v>
      </c>
      <c r="Q332" s="887"/>
      <c r="R332" s="887"/>
      <c r="S332" s="887"/>
      <c r="T332" s="887"/>
      <c r="U332" s="887"/>
      <c r="V332" s="887"/>
      <c r="W332" s="887"/>
      <c r="X332" s="887"/>
      <c r="Y332" s="887"/>
      <c r="Z332" s="887"/>
    </row>
    <row r="333" spans="1:26" ht="19.5" hidden="1">
      <c r="A333" s="1005"/>
      <c r="B333" s="895"/>
      <c r="C333" s="1011"/>
      <c r="D333" s="895"/>
      <c r="E333" s="896" t="s">
        <v>37</v>
      </c>
      <c r="F333" s="895"/>
      <c r="G333" s="1006"/>
      <c r="H333" s="165" t="s">
        <v>12</v>
      </c>
      <c r="I333" s="1012"/>
      <c r="J333" s="1012"/>
      <c r="K333" s="1013"/>
      <c r="L333" s="899">
        <f ca="1">IFERROR(__xludf.DUMMYFUNCTION("IMPORTRANGE(""https://docs.google.com/spreadsheets/d/1MeEWN-I1oV_STSDYn1IFDPWt_1FKiwhDph83XaGc0o0/edit?usp=sharing"",""งบพรบ!EM51"")"),188000)</f>
        <v>188000</v>
      </c>
      <c r="M333" s="899">
        <f ca="1">IFERROR(__xludf.DUMMYFUNCTION("IMPORTRANGE(""https://docs.google.com/spreadsheets/d/1MeEWN-I1oV_STSDYn1IFDPWt_1FKiwhDph83XaGc0o0/edit?usp=sharing"",""งบพรบ!ER51"")"),143500)</f>
        <v>143500</v>
      </c>
      <c r="N333" s="899">
        <f ca="1">IFERROR(__xludf.DUMMYFUNCTION("IMPORTRANGE(""https://docs.google.com/spreadsheets/d/1MeEWN-I1oV_STSDYn1IFDPWt_1FKiwhDph83XaGc0o0/edit?usp=sharing"",""งบพรบ!ET51"")"),97010.8)</f>
        <v>97010.8</v>
      </c>
      <c r="O333" s="899">
        <f t="shared" ca="1" si="150"/>
        <v>51.601489361702129</v>
      </c>
      <c r="P333" s="899">
        <f t="shared" ca="1" si="151"/>
        <v>67.603344947735195</v>
      </c>
      <c r="Q333" s="887"/>
      <c r="R333" s="887"/>
      <c r="S333" s="887"/>
      <c r="T333" s="887"/>
      <c r="U333" s="887"/>
      <c r="V333" s="887"/>
      <c r="W333" s="887"/>
      <c r="X333" s="887"/>
      <c r="Y333" s="887"/>
      <c r="Z333" s="887"/>
    </row>
    <row r="334" spans="1:26" ht="18.75">
      <c r="A334" s="1007"/>
      <c r="B334" s="889"/>
      <c r="C334" s="1008"/>
      <c r="D334" s="890" t="s">
        <v>21</v>
      </c>
      <c r="E334" s="889"/>
      <c r="F334" s="889"/>
      <c r="G334" s="891"/>
      <c r="H334" s="168" t="s">
        <v>12</v>
      </c>
      <c r="I334" s="1009"/>
      <c r="J334" s="1009"/>
      <c r="K334" s="1010"/>
      <c r="L334" s="893">
        <f t="shared" ref="L334:N334" ca="1" si="154">L335+L336</f>
        <v>0</v>
      </c>
      <c r="M334" s="893">
        <f t="shared" ca="1" si="154"/>
        <v>0</v>
      </c>
      <c r="N334" s="893">
        <f t="shared" ca="1" si="154"/>
        <v>0</v>
      </c>
      <c r="O334" s="893">
        <f t="shared" ca="1" si="150"/>
        <v>0</v>
      </c>
      <c r="P334" s="893">
        <f t="shared" ca="1" si="151"/>
        <v>0</v>
      </c>
      <c r="Q334" s="880"/>
      <c r="R334" s="880"/>
      <c r="S334" s="880"/>
      <c r="T334" s="880"/>
      <c r="U334" s="880"/>
      <c r="V334" s="880"/>
      <c r="W334" s="880"/>
      <c r="X334" s="880"/>
      <c r="Y334" s="880"/>
      <c r="Z334" s="880"/>
    </row>
    <row r="335" spans="1:26" ht="19.5" hidden="1">
      <c r="A335" s="1005"/>
      <c r="B335" s="895"/>
      <c r="C335" s="1011"/>
      <c r="D335" s="895"/>
      <c r="E335" s="896" t="s">
        <v>18</v>
      </c>
      <c r="F335" s="895"/>
      <c r="G335" s="1006"/>
      <c r="H335" s="165" t="s">
        <v>12</v>
      </c>
      <c r="I335" s="1012"/>
      <c r="J335" s="1012"/>
      <c r="K335" s="1013"/>
      <c r="L335" s="899">
        <v>0</v>
      </c>
      <c r="M335" s="899">
        <v>0</v>
      </c>
      <c r="N335" s="899">
        <v>0</v>
      </c>
      <c r="O335" s="899">
        <f t="shared" si="150"/>
        <v>0</v>
      </c>
      <c r="P335" s="899">
        <f t="shared" si="151"/>
        <v>0</v>
      </c>
      <c r="Q335" s="887"/>
      <c r="R335" s="887"/>
      <c r="S335" s="887"/>
      <c r="T335" s="887"/>
      <c r="U335" s="887"/>
      <c r="V335" s="887"/>
      <c r="W335" s="887"/>
      <c r="X335" s="887"/>
      <c r="Y335" s="887"/>
      <c r="Z335" s="887"/>
    </row>
    <row r="336" spans="1:26" ht="19.5" hidden="1">
      <c r="A336" s="1005"/>
      <c r="B336" s="895"/>
      <c r="C336" s="1011"/>
      <c r="D336" s="895"/>
      <c r="E336" s="896" t="s">
        <v>19</v>
      </c>
      <c r="F336" s="895"/>
      <c r="G336" s="1006"/>
      <c r="H336" s="169" t="s">
        <v>12</v>
      </c>
      <c r="I336" s="1012"/>
      <c r="J336" s="1012"/>
      <c r="K336" s="1013"/>
      <c r="L336" s="899">
        <f ca="1">IFERROR(__xludf.DUMMYFUNCTION("IMPORTRANGE(""https://docs.google.com/spreadsheets/d/1MeEWN-I1oV_STSDYn1IFDPWt_1FKiwhDph83XaGc0o0/edit?usp=sharing"",""งบพรบ!EP51"")"),0)</f>
        <v>0</v>
      </c>
      <c r="M336" s="899">
        <f ca="1">IFERROR(__xludf.DUMMYFUNCTION("IMPORTRANGE(""https://docs.google.com/spreadsheets/d/1MeEWN-I1oV_STSDYn1IFDPWt_1FKiwhDph83XaGc0o0/edit?usp=sharing"",""งบพรบ!ES51"")"),0)</f>
        <v>0</v>
      </c>
      <c r="N336" s="899">
        <f ca="1">IFERROR(__xludf.DUMMYFUNCTION("IMPORTRANGE(""https://docs.google.com/spreadsheets/d/1MeEWN-I1oV_STSDYn1IFDPWt_1FKiwhDph83XaGc0o0/edit?usp=sharing"",""งบพรบ!EU51"")"),0)</f>
        <v>0</v>
      </c>
      <c r="O336" s="899">
        <f t="shared" ca="1" si="150"/>
        <v>0</v>
      </c>
      <c r="P336" s="899">
        <f t="shared" ca="1" si="151"/>
        <v>0</v>
      </c>
      <c r="Q336" s="887"/>
      <c r="R336" s="887"/>
      <c r="S336" s="887"/>
      <c r="T336" s="887"/>
      <c r="U336" s="887"/>
      <c r="V336" s="887"/>
      <c r="W336" s="887"/>
      <c r="X336" s="887"/>
      <c r="Y336" s="887"/>
      <c r="Z336" s="887"/>
    </row>
    <row r="337" spans="1:26" ht="19.5">
      <c r="A337" s="1014"/>
      <c r="B337" s="1015"/>
      <c r="C337" s="1011" t="s">
        <v>16</v>
      </c>
      <c r="D337" s="1016" t="s">
        <v>38</v>
      </c>
      <c r="E337" s="1017"/>
      <c r="F337" s="1017"/>
      <c r="G337" s="1018"/>
      <c r="H337" s="1019"/>
      <c r="I337" s="1009"/>
      <c r="J337" s="892"/>
      <c r="K337" s="893"/>
      <c r="L337" s="893"/>
      <c r="M337" s="893"/>
      <c r="N337" s="893"/>
      <c r="O337" s="1010"/>
      <c r="P337" s="1010"/>
    </row>
    <row r="338" spans="1:26" ht="18.75">
      <c r="A338" s="1097"/>
      <c r="B338" s="889"/>
      <c r="C338" s="1095"/>
      <c r="D338" s="1021" t="s">
        <v>150</v>
      </c>
      <c r="E338" s="1015"/>
      <c r="F338" s="889"/>
      <c r="G338" s="891"/>
      <c r="H338" s="277" t="s">
        <v>35</v>
      </c>
      <c r="I338" s="892">
        <f ca="1">IFERROR(__xludf.DUMMYFUNCTION("IMPORTRANGE(""https://docs.google.com/spreadsheets/d/1QqKyyYR6Q21VydFLVH3TRQUabQu_ym0Zz7PgGX0-kHA/edit?usp=sharing"",""แผน!EG51"")"),6500)</f>
        <v>6500</v>
      </c>
      <c r="J338" s="892">
        <f ca="1">IFERROR(__xludf.DUMMYFUNCTION("IMPORTRANGE(""https://docs.google.com/spreadsheets/d/1kVcqe37tkHyjCSG3S0O1AXqVkqjo8mSIZil3BcpIysc/edit?usp=sharing"",""ศูนย์!D51"")"),9924)</f>
        <v>9924</v>
      </c>
      <c r="K338" s="893">
        <f ca="1">IF(I338&gt;0,J338*100/I338,0)</f>
        <v>152.67692307692309</v>
      </c>
      <c r="L338" s="893"/>
      <c r="M338" s="893"/>
      <c r="N338" s="893"/>
      <c r="O338" s="893"/>
      <c r="P338" s="893"/>
    </row>
    <row r="339" spans="1:26" ht="18.75">
      <c r="A339" s="1097"/>
      <c r="B339" s="889"/>
      <c r="C339" s="1095"/>
      <c r="D339" s="1021" t="s">
        <v>151</v>
      </c>
      <c r="E339" s="1015"/>
      <c r="F339" s="889"/>
      <c r="G339" s="891"/>
      <c r="H339" s="277"/>
      <c r="I339" s="892"/>
      <c r="J339" s="892"/>
      <c r="K339" s="893"/>
      <c r="L339" s="893"/>
      <c r="M339" s="893"/>
      <c r="N339" s="893"/>
      <c r="O339" s="893"/>
      <c r="P339" s="893"/>
    </row>
    <row r="340" spans="1:26" ht="18.75">
      <c r="A340" s="1097"/>
      <c r="B340" s="889"/>
      <c r="C340" s="1095"/>
      <c r="D340" s="1022"/>
      <c r="E340" s="1021" t="s">
        <v>152</v>
      </c>
      <c r="F340" s="889"/>
      <c r="G340" s="891"/>
      <c r="H340" s="277" t="s">
        <v>153</v>
      </c>
      <c r="I340" s="892">
        <f ca="1">IFERROR(__xludf.DUMMYFUNCTION("IMPORTRANGE(""https://docs.google.com/spreadsheets/d/1QqKyyYR6Q21VydFLVH3TRQUabQu_ym0Zz7PgGX0-kHA/edit?usp=sharing"",""แผน!EH51"")"),10)</f>
        <v>10</v>
      </c>
      <c r="J340" s="892">
        <f ca="1">IFERROR(__xludf.DUMMYFUNCTION("IMPORTRANGE(""https://docs.google.com/spreadsheets/d/1kVcqe37tkHyjCSG3S0O1AXqVkqjo8mSIZil3BcpIysc/edit?usp=sharing"",""ศูนย์!E51"")"),5)</f>
        <v>5</v>
      </c>
      <c r="K340" s="893">
        <f ca="1">IF(I340&gt;0,J340*100/I340,0)</f>
        <v>50</v>
      </c>
      <c r="L340" s="893"/>
      <c r="M340" s="893"/>
      <c r="N340" s="893"/>
      <c r="O340" s="893"/>
      <c r="P340" s="893"/>
    </row>
    <row r="341" spans="1:26" ht="18.75">
      <c r="A341" s="1097"/>
      <c r="B341" s="889"/>
      <c r="C341" s="1095"/>
      <c r="D341" s="1022"/>
      <c r="E341" s="1021" t="s">
        <v>154</v>
      </c>
      <c r="F341" s="889"/>
      <c r="G341" s="891"/>
      <c r="H341" s="277" t="s">
        <v>35</v>
      </c>
      <c r="I341" s="892"/>
      <c r="J341" s="892">
        <f ca="1">IFERROR(__xludf.DUMMYFUNCTION("IMPORTRANGE(""https://docs.google.com/spreadsheets/d/1kVcqe37tkHyjCSG3S0O1AXqVkqjo8mSIZil3BcpIysc/edit?usp=sharing"",""ศูนย์!F51"")"),285)</f>
        <v>285</v>
      </c>
      <c r="K341" s="893"/>
      <c r="L341" s="893"/>
      <c r="M341" s="893"/>
      <c r="N341" s="893"/>
      <c r="O341" s="893"/>
      <c r="P341" s="893"/>
    </row>
    <row r="342" spans="1:26" ht="18.75">
      <c r="A342" s="1097"/>
      <c r="B342" s="889"/>
      <c r="C342" s="1095"/>
      <c r="D342" s="1021" t="s">
        <v>155</v>
      </c>
      <c r="E342" s="1022"/>
      <c r="F342" s="1022"/>
      <c r="G342" s="891"/>
      <c r="H342" s="277" t="s">
        <v>35</v>
      </c>
      <c r="I342" s="892"/>
      <c r="J342" s="892">
        <f ca="1">IFERROR(__xludf.DUMMYFUNCTION("IMPORTRANGE(""https://docs.google.com/spreadsheets/d/1kVcqe37tkHyjCSG3S0O1AXqVkqjo8mSIZil3BcpIysc/edit?usp=sharing"",""ศูนย์!G51"")"),8)</f>
        <v>8</v>
      </c>
      <c r="K342" s="893"/>
      <c r="L342" s="893"/>
      <c r="M342" s="893"/>
      <c r="N342" s="893"/>
      <c r="O342" s="893"/>
      <c r="P342" s="893"/>
    </row>
    <row r="343" spans="1:26" ht="18.75">
      <c r="A343" s="1097"/>
      <c r="B343" s="889"/>
      <c r="C343" s="1095"/>
      <c r="D343" s="1021" t="s">
        <v>156</v>
      </c>
      <c r="E343" s="1022"/>
      <c r="F343" s="1022"/>
      <c r="G343" s="891"/>
      <c r="H343" s="277" t="s">
        <v>35</v>
      </c>
      <c r="I343" s="892"/>
      <c r="J343" s="892">
        <f ca="1">IFERROR(__xludf.DUMMYFUNCTION("IMPORTRANGE(""https://docs.google.com/spreadsheets/d/1kVcqe37tkHyjCSG3S0O1AXqVkqjo8mSIZil3BcpIysc/edit?usp=sharing"",""ศูนย์!H51"")"),287)</f>
        <v>287</v>
      </c>
      <c r="K343" s="893"/>
      <c r="L343" s="893"/>
      <c r="M343" s="893"/>
      <c r="N343" s="893"/>
      <c r="O343" s="893"/>
      <c r="P343" s="893"/>
    </row>
    <row r="344" spans="1:26" ht="19.5">
      <c r="A344" s="1198"/>
      <c r="B344" s="1199" t="s">
        <v>157</v>
      </c>
      <c r="C344" s="1208"/>
      <c r="D344" s="1200"/>
      <c r="E344" s="1200"/>
      <c r="F344" s="1200"/>
      <c r="G344" s="1201"/>
      <c r="H344" s="443"/>
      <c r="I344" s="1209"/>
      <c r="J344" s="1209"/>
      <c r="K344" s="1204"/>
      <c r="L344" s="1204"/>
      <c r="M344" s="1204"/>
      <c r="N344" s="1204"/>
      <c r="O344" s="1204"/>
      <c r="P344" s="1204"/>
    </row>
    <row r="345" spans="1:26" ht="19.5">
      <c r="A345" s="997"/>
      <c r="B345" s="998"/>
      <c r="C345" s="999" t="s">
        <v>16</v>
      </c>
      <c r="D345" s="1000" t="s">
        <v>17</v>
      </c>
      <c r="E345" s="998"/>
      <c r="F345" s="998"/>
      <c r="G345" s="1001"/>
      <c r="H345" s="152" t="s">
        <v>12</v>
      </c>
      <c r="I345" s="1002"/>
      <c r="J345" s="1002"/>
      <c r="K345" s="1003"/>
      <c r="L345" s="1004">
        <f t="shared" ref="L345:N345" ca="1" si="155">L346+L347</f>
        <v>2256200</v>
      </c>
      <c r="M345" s="1004">
        <f t="shared" ca="1" si="155"/>
        <v>1937650</v>
      </c>
      <c r="N345" s="1004">
        <f t="shared" ca="1" si="155"/>
        <v>1332011.95</v>
      </c>
      <c r="O345" s="1004">
        <f t="shared" ref="O345:O353" ca="1" si="156">IF(L345&gt;0,N345*100/L345,0)</f>
        <v>59.037849038205835</v>
      </c>
      <c r="P345" s="1004">
        <f t="shared" ref="P345:P353" ca="1" si="157">IF(M345&gt;0,N345*100/M345,0)</f>
        <v>68.743681779475139</v>
      </c>
      <c r="Q345" s="880"/>
      <c r="R345" s="880"/>
      <c r="S345" s="880"/>
      <c r="T345" s="880"/>
      <c r="U345" s="880"/>
      <c r="V345" s="880"/>
      <c r="W345" s="880"/>
      <c r="X345" s="880"/>
      <c r="Y345" s="880"/>
      <c r="Z345" s="880"/>
    </row>
    <row r="346" spans="1:26" ht="18.75" hidden="1">
      <c r="A346" s="1005"/>
      <c r="B346" s="895"/>
      <c r="C346" s="895"/>
      <c r="D346" s="895"/>
      <c r="E346" s="896" t="s">
        <v>18</v>
      </c>
      <c r="F346" s="895"/>
      <c r="G346" s="1006"/>
      <c r="H346" s="158" t="s">
        <v>12</v>
      </c>
      <c r="I346" s="898"/>
      <c r="J346" s="898"/>
      <c r="K346" s="899"/>
      <c r="L346" s="899">
        <f t="shared" ref="L346:N347" si="158">L349+L352</f>
        <v>0</v>
      </c>
      <c r="M346" s="899">
        <f t="shared" si="158"/>
        <v>0</v>
      </c>
      <c r="N346" s="899">
        <f t="shared" si="158"/>
        <v>0</v>
      </c>
      <c r="O346" s="899">
        <f t="shared" si="156"/>
        <v>0</v>
      </c>
      <c r="P346" s="899">
        <f t="shared" si="157"/>
        <v>0</v>
      </c>
      <c r="Q346" s="887"/>
      <c r="R346" s="887"/>
      <c r="S346" s="887"/>
      <c r="T346" s="887"/>
      <c r="U346" s="887"/>
      <c r="V346" s="887"/>
      <c r="W346" s="887"/>
      <c r="X346" s="887"/>
      <c r="Y346" s="887"/>
      <c r="Z346" s="887"/>
    </row>
    <row r="347" spans="1:26" ht="18.75" hidden="1">
      <c r="A347" s="1005"/>
      <c r="B347" s="895"/>
      <c r="C347" s="895"/>
      <c r="D347" s="895"/>
      <c r="E347" s="896" t="s">
        <v>19</v>
      </c>
      <c r="F347" s="895"/>
      <c r="G347" s="1006"/>
      <c r="H347" s="158" t="s">
        <v>12</v>
      </c>
      <c r="I347" s="898"/>
      <c r="J347" s="898"/>
      <c r="K347" s="899"/>
      <c r="L347" s="899">
        <f t="shared" ca="1" si="158"/>
        <v>2256200</v>
      </c>
      <c r="M347" s="899">
        <f t="shared" ca="1" si="158"/>
        <v>1937650</v>
      </c>
      <c r="N347" s="899">
        <f t="shared" ca="1" si="158"/>
        <v>1332011.95</v>
      </c>
      <c r="O347" s="899">
        <f t="shared" ca="1" si="156"/>
        <v>59.037849038205835</v>
      </c>
      <c r="P347" s="899">
        <f t="shared" ca="1" si="157"/>
        <v>68.743681779475139</v>
      </c>
      <c r="Q347" s="887"/>
      <c r="R347" s="887"/>
      <c r="S347" s="887"/>
      <c r="T347" s="887"/>
      <c r="U347" s="887"/>
      <c r="V347" s="887"/>
      <c r="W347" s="887"/>
      <c r="X347" s="887"/>
      <c r="Y347" s="887"/>
      <c r="Z347" s="887"/>
    </row>
    <row r="348" spans="1:26" ht="18.75">
      <c r="A348" s="1007"/>
      <c r="B348" s="889"/>
      <c r="C348" s="1008"/>
      <c r="D348" s="890" t="s">
        <v>20</v>
      </c>
      <c r="E348" s="889"/>
      <c r="F348" s="889"/>
      <c r="G348" s="891"/>
      <c r="H348" s="161" t="s">
        <v>12</v>
      </c>
      <c r="I348" s="1009"/>
      <c r="J348" s="1009"/>
      <c r="K348" s="1010"/>
      <c r="L348" s="893">
        <f t="shared" ref="L348:N348" ca="1" si="159">L349+L350</f>
        <v>2180200</v>
      </c>
      <c r="M348" s="893">
        <f t="shared" ca="1" si="159"/>
        <v>1861650</v>
      </c>
      <c r="N348" s="893">
        <f t="shared" ca="1" si="159"/>
        <v>1256011.95</v>
      </c>
      <c r="O348" s="893">
        <f t="shared" ca="1" si="156"/>
        <v>57.609941748463442</v>
      </c>
      <c r="P348" s="893">
        <f t="shared" ca="1" si="157"/>
        <v>67.467673837724604</v>
      </c>
      <c r="Q348" s="880"/>
      <c r="R348" s="880"/>
      <c r="S348" s="880"/>
      <c r="T348" s="880"/>
      <c r="U348" s="880"/>
      <c r="V348" s="880"/>
      <c r="W348" s="880"/>
      <c r="X348" s="880"/>
      <c r="Y348" s="880"/>
      <c r="Z348" s="880"/>
    </row>
    <row r="349" spans="1:26" ht="19.5" hidden="1">
      <c r="A349" s="1005"/>
      <c r="B349" s="895"/>
      <c r="C349" s="1011"/>
      <c r="D349" s="895"/>
      <c r="E349" s="896" t="s">
        <v>36</v>
      </c>
      <c r="F349" s="895"/>
      <c r="G349" s="1006"/>
      <c r="H349" s="165" t="s">
        <v>12</v>
      </c>
      <c r="I349" s="1012"/>
      <c r="J349" s="1012"/>
      <c r="K349" s="1013"/>
      <c r="L349" s="899">
        <v>0</v>
      </c>
      <c r="M349" s="899">
        <v>0</v>
      </c>
      <c r="N349" s="899">
        <v>0</v>
      </c>
      <c r="O349" s="899">
        <f t="shared" si="156"/>
        <v>0</v>
      </c>
      <c r="P349" s="899">
        <f t="shared" si="157"/>
        <v>0</v>
      </c>
      <c r="Q349" s="887"/>
      <c r="R349" s="887"/>
      <c r="S349" s="887"/>
      <c r="T349" s="887"/>
      <c r="U349" s="887"/>
      <c r="V349" s="887"/>
      <c r="W349" s="887"/>
      <c r="X349" s="887"/>
      <c r="Y349" s="887"/>
      <c r="Z349" s="887"/>
    </row>
    <row r="350" spans="1:26" ht="19.5" hidden="1">
      <c r="A350" s="1005"/>
      <c r="B350" s="895"/>
      <c r="C350" s="1011"/>
      <c r="D350" s="895"/>
      <c r="E350" s="896" t="s">
        <v>37</v>
      </c>
      <c r="F350" s="895"/>
      <c r="G350" s="1006"/>
      <c r="H350" s="165" t="s">
        <v>12</v>
      </c>
      <c r="I350" s="1012"/>
      <c r="J350" s="1012"/>
      <c r="K350" s="1013"/>
      <c r="L350" s="899">
        <f ca="1">IFERROR(__xludf.DUMMYFUNCTION("IMPORTRANGE(""https://docs.google.com/spreadsheets/d/1MeEWN-I1oV_STSDYn1IFDPWt_1FKiwhDph83XaGc0o0/edit?usp=sharing"",""งบพรบ!EW51"")"),2180200)</f>
        <v>2180200</v>
      </c>
      <c r="M350" s="899">
        <f ca="1">IFERROR(__xludf.DUMMYFUNCTION("IMPORTRANGE(""https://docs.google.com/spreadsheets/d/1MeEWN-I1oV_STSDYn1IFDPWt_1FKiwhDph83XaGc0o0/edit?usp=sharing"",""งบพรบ!FB51"")"),1861650)</f>
        <v>1861650</v>
      </c>
      <c r="N350" s="899">
        <f ca="1">IFERROR(__xludf.DUMMYFUNCTION("IMPORTRANGE(""https://docs.google.com/spreadsheets/d/1MeEWN-I1oV_STSDYn1IFDPWt_1FKiwhDph83XaGc0o0/edit?usp=sharing"",""งบพรบ!FD51"")"),1256011.95)</f>
        <v>1256011.95</v>
      </c>
      <c r="O350" s="899">
        <f t="shared" ca="1" si="156"/>
        <v>57.609941748463442</v>
      </c>
      <c r="P350" s="899">
        <f t="shared" ca="1" si="157"/>
        <v>67.467673837724604</v>
      </c>
      <c r="Q350" s="887"/>
      <c r="R350" s="887"/>
      <c r="S350" s="887"/>
      <c r="T350" s="887"/>
      <c r="U350" s="887"/>
      <c r="V350" s="887"/>
      <c r="W350" s="887"/>
      <c r="X350" s="887"/>
      <c r="Y350" s="887"/>
      <c r="Z350" s="887"/>
    </row>
    <row r="351" spans="1:26" ht="18.75">
      <c r="A351" s="1007"/>
      <c r="B351" s="889"/>
      <c r="C351" s="1008"/>
      <c r="D351" s="890" t="s">
        <v>21</v>
      </c>
      <c r="E351" s="889"/>
      <c r="F351" s="889"/>
      <c r="G351" s="891"/>
      <c r="H351" s="168" t="s">
        <v>12</v>
      </c>
      <c r="I351" s="1009"/>
      <c r="J351" s="1009"/>
      <c r="K351" s="1010"/>
      <c r="L351" s="893">
        <f t="shared" ref="L351:N351" ca="1" si="160">L352+L353</f>
        <v>76000</v>
      </c>
      <c r="M351" s="893">
        <f t="shared" ca="1" si="160"/>
        <v>76000</v>
      </c>
      <c r="N351" s="893">
        <f t="shared" ca="1" si="160"/>
        <v>76000</v>
      </c>
      <c r="O351" s="893">
        <f t="shared" ca="1" si="156"/>
        <v>100</v>
      </c>
      <c r="P351" s="893">
        <f t="shared" ca="1" si="157"/>
        <v>100</v>
      </c>
      <c r="Q351" s="880"/>
      <c r="R351" s="880"/>
      <c r="S351" s="880"/>
      <c r="T351" s="880"/>
      <c r="U351" s="880"/>
      <c r="V351" s="880"/>
      <c r="W351" s="880"/>
      <c r="X351" s="880"/>
      <c r="Y351" s="880"/>
      <c r="Z351" s="880"/>
    </row>
    <row r="352" spans="1:26" ht="19.5" hidden="1">
      <c r="A352" s="1005"/>
      <c r="B352" s="895"/>
      <c r="C352" s="1011"/>
      <c r="D352" s="895"/>
      <c r="E352" s="896" t="s">
        <v>18</v>
      </c>
      <c r="F352" s="895"/>
      <c r="G352" s="1006"/>
      <c r="H352" s="165" t="s">
        <v>12</v>
      </c>
      <c r="I352" s="1012"/>
      <c r="J352" s="1012"/>
      <c r="K352" s="1013"/>
      <c r="L352" s="899">
        <v>0</v>
      </c>
      <c r="M352" s="899">
        <v>0</v>
      </c>
      <c r="N352" s="899">
        <v>0</v>
      </c>
      <c r="O352" s="899">
        <f t="shared" si="156"/>
        <v>0</v>
      </c>
      <c r="P352" s="899">
        <f t="shared" si="157"/>
        <v>0</v>
      </c>
      <c r="Q352" s="887"/>
      <c r="R352" s="887"/>
      <c r="S352" s="887"/>
      <c r="T352" s="887"/>
      <c r="U352" s="887"/>
      <c r="V352" s="887"/>
      <c r="W352" s="887"/>
      <c r="X352" s="887"/>
      <c r="Y352" s="887"/>
      <c r="Z352" s="887"/>
    </row>
    <row r="353" spans="1:26" ht="19.5" hidden="1">
      <c r="A353" s="1005"/>
      <c r="B353" s="895"/>
      <c r="C353" s="1011"/>
      <c r="D353" s="895"/>
      <c r="E353" s="896" t="s">
        <v>19</v>
      </c>
      <c r="F353" s="895"/>
      <c r="G353" s="1006"/>
      <c r="H353" s="169" t="s">
        <v>12</v>
      </c>
      <c r="I353" s="1012"/>
      <c r="J353" s="1012"/>
      <c r="K353" s="1013"/>
      <c r="L353" s="899">
        <f ca="1">IFERROR(__xludf.DUMMYFUNCTION("IMPORTRANGE(""https://docs.google.com/spreadsheets/d/1MeEWN-I1oV_STSDYn1IFDPWt_1FKiwhDph83XaGc0o0/edit?usp=sharing"",""งบพรบ!EZ51"")"),76000)</f>
        <v>76000</v>
      </c>
      <c r="M353" s="899">
        <f ca="1">IFERROR(__xludf.DUMMYFUNCTION("IMPORTRANGE(""https://docs.google.com/spreadsheets/d/1MeEWN-I1oV_STSDYn1IFDPWt_1FKiwhDph83XaGc0o0/edit?usp=sharing"",""งบพรบ!FC51"")"),76000)</f>
        <v>76000</v>
      </c>
      <c r="N353" s="899">
        <f ca="1">IFERROR(__xludf.DUMMYFUNCTION("IMPORTRANGE(""https://docs.google.com/spreadsheets/d/1MeEWN-I1oV_STSDYn1IFDPWt_1FKiwhDph83XaGc0o0/edit?usp=sharing"",""งบพรบ!FE51"")"),76000)</f>
        <v>76000</v>
      </c>
      <c r="O353" s="899">
        <f t="shared" ca="1" si="156"/>
        <v>100</v>
      </c>
      <c r="P353" s="899">
        <f t="shared" ca="1" si="157"/>
        <v>100</v>
      </c>
      <c r="Q353" s="887"/>
      <c r="R353" s="887"/>
      <c r="S353" s="887"/>
      <c r="T353" s="887"/>
      <c r="U353" s="887"/>
      <c r="V353" s="887"/>
      <c r="W353" s="887"/>
      <c r="X353" s="887"/>
      <c r="Y353" s="887"/>
      <c r="Z353" s="887"/>
    </row>
    <row r="354" spans="1:26" ht="19.5">
      <c r="A354" s="1076"/>
      <c r="B354" s="1083"/>
      <c r="C354" s="1077"/>
      <c r="D354" s="1210" t="s">
        <v>158</v>
      </c>
      <c r="E354" s="1077"/>
      <c r="F354" s="1077"/>
      <c r="G354" s="1079"/>
      <c r="H354" s="1211"/>
      <c r="I354" s="1080"/>
      <c r="J354" s="1080"/>
      <c r="K354" s="1081"/>
      <c r="L354" s="1081"/>
      <c r="M354" s="1081"/>
      <c r="N354" s="1081"/>
      <c r="O354" s="1081"/>
      <c r="P354" s="1081"/>
    </row>
    <row r="355" spans="1:26" ht="19.5">
      <c r="A355" s="1212"/>
      <c r="B355" s="1213"/>
      <c r="C355" s="1214"/>
      <c r="D355" s="1215" t="s">
        <v>159</v>
      </c>
      <c r="E355" s="1216"/>
      <c r="F355" s="1216"/>
      <c r="G355" s="1217"/>
      <c r="H355" s="462" t="s">
        <v>35</v>
      </c>
      <c r="I355" s="1218">
        <f ca="1">IFERROR(__xludf.DUMMYFUNCTION("IMPORTRANGE(""https://docs.google.com/spreadsheets/d/1QqKyyYR6Q21VydFLVH3TRQUabQu_ym0Zz7PgGX0-kHA/edit?usp=sharing"",""แผน!EP51"")"),1600)</f>
        <v>1600</v>
      </c>
      <c r="J355" s="1218">
        <f ca="1">J362</f>
        <v>209</v>
      </c>
      <c r="K355" s="1219">
        <f ca="1">IF(I355&gt;0,J355*100/I355,0)</f>
        <v>13.0625</v>
      </c>
      <c r="L355" s="1220"/>
      <c r="M355" s="1220"/>
      <c r="N355" s="1220"/>
      <c r="O355" s="1220"/>
      <c r="P355" s="1220"/>
    </row>
    <row r="356" spans="1:26" ht="19.5">
      <c r="A356" s="1212"/>
      <c r="B356" s="1213"/>
      <c r="C356" s="1214"/>
      <c r="D356" s="1221" t="s">
        <v>160</v>
      </c>
      <c r="E356" s="1216"/>
      <c r="F356" s="1216"/>
      <c r="G356" s="1217"/>
      <c r="H356" s="1222"/>
      <c r="I356" s="1223"/>
      <c r="J356" s="1223"/>
      <c r="K356" s="1220"/>
      <c r="L356" s="1220"/>
      <c r="M356" s="1220"/>
      <c r="N356" s="1220"/>
      <c r="O356" s="1220"/>
      <c r="P356" s="1220"/>
    </row>
    <row r="357" spans="1:26" ht="19.5">
      <c r="A357" s="1014"/>
      <c r="B357" s="1015"/>
      <c r="C357" s="1011" t="s">
        <v>16</v>
      </c>
      <c r="D357" s="1016" t="s">
        <v>38</v>
      </c>
      <c r="E357" s="1017"/>
      <c r="F357" s="1017"/>
      <c r="G357" s="1018"/>
      <c r="H357" s="1019"/>
      <c r="I357" s="892"/>
      <c r="J357" s="892"/>
      <c r="K357" s="893"/>
      <c r="L357" s="1010"/>
      <c r="M357" s="1010"/>
      <c r="N357" s="1010"/>
      <c r="O357" s="1010"/>
      <c r="P357" s="1010"/>
    </row>
    <row r="358" spans="1:26" ht="18.75">
      <c r="A358" s="1014"/>
      <c r="B358" s="1022"/>
      <c r="C358" s="1015"/>
      <c r="D358" s="1022"/>
      <c r="E358" s="1020" t="s">
        <v>161</v>
      </c>
      <c r="F358" s="1022"/>
      <c r="G358" s="1023"/>
      <c r="H358" s="185" t="s">
        <v>35</v>
      </c>
      <c r="I358" s="892">
        <v>0</v>
      </c>
      <c r="J358" s="892">
        <f ca="1">IFERROR(__xludf.DUMMYFUNCTION("IMPORTRANGE(""https://docs.google.com/spreadsheets/d/1XWAQStnk-4SwqDmLtmXYiTMKHgktTP8We1SCoS47DrQ/edit?usp=sharing"",""จัดที่ดิน!W51"")"),850)</f>
        <v>850</v>
      </c>
      <c r="K358" s="893">
        <f t="shared" ref="K358:K365" si="161">IF(I358&gt;0,J358*100/I358,0)</f>
        <v>0</v>
      </c>
      <c r="L358" s="1010"/>
      <c r="M358" s="1010"/>
      <c r="N358" s="1010"/>
      <c r="O358" s="1010"/>
      <c r="P358" s="1010"/>
    </row>
    <row r="359" spans="1:26" ht="18.75">
      <c r="A359" s="1014"/>
      <c r="B359" s="1022"/>
      <c r="C359" s="1015"/>
      <c r="D359" s="1022"/>
      <c r="E359" s="1022"/>
      <c r="F359" s="1022"/>
      <c r="G359" s="1023"/>
      <c r="H359" s="185" t="s">
        <v>46</v>
      </c>
      <c r="I359" s="892">
        <f ca="1">IFERROR(__xludf.DUMMYFUNCTION("IMPORTRANGE(""https://docs.google.com/spreadsheets/d/1QqKyyYR6Q21VydFLVH3TRQUabQu_ym0Zz7PgGX0-kHA/edit?usp=sharing"",""แผน!EO51"")"),16000)</f>
        <v>16000</v>
      </c>
      <c r="J359" s="892">
        <f ca="1">IFERROR(__xludf.DUMMYFUNCTION("IMPORTRANGE(""https://docs.google.com/spreadsheets/d/1XWAQStnk-4SwqDmLtmXYiTMKHgktTP8We1SCoS47DrQ/edit?usp=sharing"",""จัดที่ดิน!X51"")"),7296.25)</f>
        <v>7296.25</v>
      </c>
      <c r="K359" s="893">
        <f t="shared" ca="1" si="161"/>
        <v>45.6015625</v>
      </c>
      <c r="L359" s="1010"/>
      <c r="M359" s="1010"/>
      <c r="N359" s="1010"/>
      <c r="O359" s="1010"/>
      <c r="P359" s="1010"/>
    </row>
    <row r="360" spans="1:26" ht="18.75">
      <c r="A360" s="1014"/>
      <c r="B360" s="1022"/>
      <c r="C360" s="1015"/>
      <c r="D360" s="1022"/>
      <c r="E360" s="1020" t="s">
        <v>162</v>
      </c>
      <c r="F360" s="1022"/>
      <c r="G360" s="1023"/>
      <c r="H360" s="761" t="s">
        <v>35</v>
      </c>
      <c r="I360" s="892">
        <f ca="1">IFERROR(__xludf.DUMMYFUNCTION("IMPORTRANGE(""https://docs.google.com/spreadsheets/d/1QqKyyYR6Q21VydFLVH3TRQUabQu_ym0Zz7PgGX0-kHA/edit?usp=sharing"",""แผน!EP51"")"),1600)</f>
        <v>1600</v>
      </c>
      <c r="J360" s="892">
        <f ca="1">IFERROR(__xludf.DUMMYFUNCTION("IMPORTRANGE(""https://docs.google.com/spreadsheets/d/1XWAQStnk-4SwqDmLtmXYiTMKHgktTP8We1SCoS47DrQ/edit?usp=sharing"",""จัดที่ดิน!Y51"")"),715)</f>
        <v>715</v>
      </c>
      <c r="K360" s="893">
        <f t="shared" ca="1" si="161"/>
        <v>44.6875</v>
      </c>
      <c r="L360" s="1010"/>
      <c r="M360" s="1010"/>
      <c r="N360" s="1010"/>
      <c r="O360" s="1010"/>
      <c r="P360" s="1010"/>
    </row>
    <row r="361" spans="1:26" ht="18.75">
      <c r="A361" s="1014"/>
      <c r="B361" s="1022"/>
      <c r="C361" s="1015"/>
      <c r="D361" s="1022"/>
      <c r="E361" s="1022"/>
      <c r="F361" s="1022"/>
      <c r="G361" s="1023"/>
      <c r="H361" s="761" t="s">
        <v>46</v>
      </c>
      <c r="I361" s="892">
        <v>0</v>
      </c>
      <c r="J361" s="892">
        <f ca="1">IFERROR(__xludf.DUMMYFUNCTION("IMPORTRANGE(""https://docs.google.com/spreadsheets/d/1XWAQStnk-4SwqDmLtmXYiTMKHgktTP8We1SCoS47DrQ/edit?usp=sharing"",""จัดที่ดิน!Z51"")"),6483.27)</f>
        <v>6483.27</v>
      </c>
      <c r="K361" s="893">
        <f t="shared" si="161"/>
        <v>0</v>
      </c>
      <c r="L361" s="1010"/>
      <c r="M361" s="1010"/>
      <c r="N361" s="1010"/>
      <c r="O361" s="1010"/>
      <c r="P361" s="1010"/>
    </row>
    <row r="362" spans="1:26" ht="18.75">
      <c r="A362" s="1014"/>
      <c r="B362" s="1022"/>
      <c r="C362" s="1015"/>
      <c r="D362" s="1022"/>
      <c r="E362" s="1020" t="s">
        <v>163</v>
      </c>
      <c r="F362" s="1022"/>
      <c r="G362" s="1023"/>
      <c r="H362" s="761" t="s">
        <v>35</v>
      </c>
      <c r="I362" s="892">
        <f ca="1">IFERROR(__xludf.DUMMYFUNCTION("IMPORTRANGE(""https://docs.google.com/spreadsheets/d/1QqKyyYR6Q21VydFLVH3TRQUabQu_ym0Zz7PgGX0-kHA/edit?usp=sharing"",""แผน!EP51"")"),1600)</f>
        <v>1600</v>
      </c>
      <c r="J362" s="892">
        <f ca="1">IFERROR(__xludf.DUMMYFUNCTION("IMPORTRANGE(""https://docs.google.com/spreadsheets/d/1XWAQStnk-4SwqDmLtmXYiTMKHgktTP8We1SCoS47DrQ/edit?usp=sharing"",""จัดที่ดิน!AA51"")"),209)</f>
        <v>209</v>
      </c>
      <c r="K362" s="893">
        <f t="shared" ca="1" si="161"/>
        <v>13.0625</v>
      </c>
      <c r="L362" s="1010"/>
      <c r="M362" s="1010"/>
      <c r="N362" s="1010"/>
      <c r="O362" s="1010"/>
      <c r="P362" s="1010"/>
    </row>
    <row r="363" spans="1:26" ht="18.75">
      <c r="A363" s="1224" t="s">
        <v>164</v>
      </c>
      <c r="B363" s="1022"/>
      <c r="C363" s="1015"/>
      <c r="D363" s="1022"/>
      <c r="E363" s="1021"/>
      <c r="F363" s="1022"/>
      <c r="G363" s="1023"/>
      <c r="H363" s="761" t="s">
        <v>46</v>
      </c>
      <c r="I363" s="892">
        <v>0</v>
      </c>
      <c r="J363" s="892">
        <f ca="1">IFERROR(__xludf.DUMMYFUNCTION("IMPORTRANGE(""https://docs.google.com/spreadsheets/d/1XWAQStnk-4SwqDmLtmXYiTMKHgktTP8We1SCoS47DrQ/edit?usp=sharing"",""จัดที่ดิน!AB51"")"),1752.45)</f>
        <v>1752.45</v>
      </c>
      <c r="K363" s="893">
        <f t="shared" si="161"/>
        <v>0</v>
      </c>
      <c r="L363" s="1010"/>
      <c r="M363" s="1010"/>
      <c r="N363" s="1010"/>
      <c r="O363" s="1010"/>
      <c r="P363" s="1010"/>
    </row>
    <row r="364" spans="1:26" ht="19.5">
      <c r="A364" s="1225"/>
      <c r="B364" s="1226"/>
      <c r="C364" s="1227"/>
      <c r="D364" s="1228" t="s">
        <v>165</v>
      </c>
      <c r="E364" s="1229"/>
      <c r="F364" s="1229"/>
      <c r="G364" s="1230"/>
      <c r="H364" s="477" t="s">
        <v>35</v>
      </c>
      <c r="I364" s="1231">
        <f t="shared" ref="I364:J364" ca="1" si="162">I365+I374</f>
        <v>1800</v>
      </c>
      <c r="J364" s="1231">
        <f t="shared" ca="1" si="162"/>
        <v>470</v>
      </c>
      <c r="K364" s="1232">
        <f t="shared" ca="1" si="161"/>
        <v>26.111111111111111</v>
      </c>
      <c r="L364" s="1233"/>
      <c r="M364" s="1233"/>
      <c r="N364" s="1233"/>
      <c r="O364" s="1233"/>
      <c r="P364" s="1233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4"/>
      <c r="B365" s="1235"/>
      <c r="C365" s="1236"/>
      <c r="D365" s="1236" t="s">
        <v>166</v>
      </c>
      <c r="E365" s="1237"/>
      <c r="F365" s="1237"/>
      <c r="G365" s="1238"/>
      <c r="H365" s="488" t="s">
        <v>35</v>
      </c>
      <c r="I365" s="1239">
        <f ca="1">IFERROR(__xludf.DUMMYFUNCTION("IMPORTRANGE(""https://docs.google.com/spreadsheets/d/1QqKyyYR6Q21VydFLVH3TRQUabQu_ym0Zz7PgGX0-kHA/edit?usp=sharing"",""แผน!EJ51"")"),300)</f>
        <v>300</v>
      </c>
      <c r="J365" s="1239">
        <f ca="1">J372</f>
        <v>89</v>
      </c>
      <c r="K365" s="1240">
        <f t="shared" ca="1" si="161"/>
        <v>29.666666666666668</v>
      </c>
      <c r="L365" s="1241"/>
      <c r="M365" s="1241"/>
      <c r="N365" s="1241"/>
      <c r="O365" s="1241"/>
      <c r="P365" s="124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4"/>
      <c r="B366" s="1235"/>
      <c r="C366" s="1236"/>
      <c r="D366" s="1242" t="s">
        <v>167</v>
      </c>
      <c r="E366" s="1237"/>
      <c r="F366" s="1237"/>
      <c r="G366" s="1238"/>
      <c r="H366" s="1243"/>
      <c r="I366" s="1244"/>
      <c r="J366" s="1244"/>
      <c r="K366" s="1241"/>
      <c r="L366" s="1241"/>
      <c r="M366" s="1241"/>
      <c r="N366" s="1241"/>
      <c r="O366" s="1241"/>
      <c r="P366" s="124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4"/>
      <c r="B367" s="1015"/>
      <c r="C367" s="1011" t="s">
        <v>16</v>
      </c>
      <c r="D367" s="1016" t="s">
        <v>38</v>
      </c>
      <c r="E367" s="1017"/>
      <c r="F367" s="1017"/>
      <c r="G367" s="1018"/>
      <c r="H367" s="1019"/>
      <c r="I367" s="892"/>
      <c r="J367" s="892"/>
      <c r="K367" s="893"/>
      <c r="L367" s="1010"/>
      <c r="M367" s="1010"/>
      <c r="N367" s="1010"/>
      <c r="O367" s="1010"/>
      <c r="P367" s="1010"/>
    </row>
    <row r="368" spans="1:26" ht="18.75">
      <c r="A368" s="1014"/>
      <c r="B368" s="1022"/>
      <c r="C368" s="1015"/>
      <c r="D368" s="1022"/>
      <c r="E368" s="1020" t="s">
        <v>161</v>
      </c>
      <c r="F368" s="1022"/>
      <c r="G368" s="1023"/>
      <c r="H368" s="185" t="s">
        <v>35</v>
      </c>
      <c r="I368" s="892">
        <v>0</v>
      </c>
      <c r="J368" s="892">
        <f ca="1">IFERROR(__xludf.DUMMYFUNCTION("IMPORTRANGE(""https://docs.google.com/spreadsheets/d/1XWAQStnk-4SwqDmLtmXYiTMKHgktTP8We1SCoS47DrQ/edit?usp=sharing"",""จัดที่ดิน!E51"")"),285)</f>
        <v>285</v>
      </c>
      <c r="K368" s="893">
        <f t="shared" ref="K368:K374" si="163">IF(I368&gt;0,J368*100/I368,0)</f>
        <v>0</v>
      </c>
      <c r="L368" s="1010"/>
      <c r="M368" s="1010"/>
      <c r="N368" s="1010"/>
      <c r="O368" s="1010"/>
      <c r="P368" s="1010"/>
    </row>
    <row r="369" spans="1:26" ht="18.75">
      <c r="A369" s="1014"/>
      <c r="B369" s="1022"/>
      <c r="C369" s="1015"/>
      <c r="D369" s="1022"/>
      <c r="E369" s="1022"/>
      <c r="F369" s="1022"/>
      <c r="G369" s="1023"/>
      <c r="H369" s="185" t="s">
        <v>46</v>
      </c>
      <c r="I369" s="892">
        <f ca="1">IFERROR(__xludf.DUMMYFUNCTION("IMPORTRANGE(""https://docs.google.com/spreadsheets/d/1QqKyyYR6Q21VydFLVH3TRQUabQu_ym0Zz7PgGX0-kHA/edit?usp=sharing"",""แผน!EI51"")"),3000)</f>
        <v>3000</v>
      </c>
      <c r="J369" s="892">
        <f ca="1">IFERROR(__xludf.DUMMYFUNCTION("IMPORTRANGE(""https://docs.google.com/spreadsheets/d/1XWAQStnk-4SwqDmLtmXYiTMKHgktTP8We1SCoS47DrQ/edit?usp=sharing"",""จัดที่ดิน!F51"")"),1762.4)</f>
        <v>1762.4</v>
      </c>
      <c r="K369" s="893">
        <f t="shared" ca="1" si="163"/>
        <v>58.74666666666667</v>
      </c>
      <c r="L369" s="1010"/>
      <c r="M369" s="1010"/>
      <c r="N369" s="1010"/>
      <c r="O369" s="1010"/>
      <c r="P369" s="1010"/>
    </row>
    <row r="370" spans="1:26" ht="18.75">
      <c r="A370" s="1014"/>
      <c r="B370" s="1022"/>
      <c r="C370" s="1015"/>
      <c r="D370" s="1022"/>
      <c r="E370" s="1020" t="s">
        <v>162</v>
      </c>
      <c r="F370" s="1022"/>
      <c r="G370" s="1023"/>
      <c r="H370" s="761" t="s">
        <v>35</v>
      </c>
      <c r="I370" s="892">
        <f ca="1">IFERROR(__xludf.DUMMYFUNCTION("IMPORTRANGE(""https://docs.google.com/spreadsheets/d/1QqKyyYR6Q21VydFLVH3TRQUabQu_ym0Zz7PgGX0-kHA/edit?usp=sharing"",""แผน!EJ51"")"),300)</f>
        <v>300</v>
      </c>
      <c r="J370" s="892">
        <f ca="1">IFERROR(__xludf.DUMMYFUNCTION("IMPORTRANGE(""https://docs.google.com/spreadsheets/d/1XWAQStnk-4SwqDmLtmXYiTMKHgktTP8We1SCoS47DrQ/edit?usp=sharing"",""จัดที่ดิน!G51"")"),150)</f>
        <v>150</v>
      </c>
      <c r="K370" s="893">
        <f t="shared" ca="1" si="163"/>
        <v>50</v>
      </c>
      <c r="L370" s="1010"/>
      <c r="M370" s="1010"/>
      <c r="N370" s="1010"/>
      <c r="O370" s="1010"/>
      <c r="P370" s="1010"/>
    </row>
    <row r="371" spans="1:26" ht="18.75">
      <c r="A371" s="1014"/>
      <c r="B371" s="1022"/>
      <c r="C371" s="1015"/>
      <c r="D371" s="1022"/>
      <c r="E371" s="1022"/>
      <c r="F371" s="1022"/>
      <c r="G371" s="1023"/>
      <c r="H371" s="761" t="s">
        <v>46</v>
      </c>
      <c r="I371" s="892">
        <v>0</v>
      </c>
      <c r="J371" s="892">
        <f ca="1">IFERROR(__xludf.DUMMYFUNCTION("IMPORTRANGE(""https://docs.google.com/spreadsheets/d/1XWAQStnk-4SwqDmLtmXYiTMKHgktTP8We1SCoS47DrQ/edit?usp=sharing"",""จัดที่ดิน!H51"")"),975.26)</f>
        <v>975.26</v>
      </c>
      <c r="K371" s="893">
        <f t="shared" si="163"/>
        <v>0</v>
      </c>
      <c r="L371" s="1010"/>
      <c r="M371" s="1010"/>
      <c r="N371" s="1010"/>
      <c r="O371" s="1010"/>
      <c r="P371" s="1010"/>
    </row>
    <row r="372" spans="1:26" ht="18.75">
      <c r="A372" s="1014"/>
      <c r="B372" s="1022"/>
      <c r="C372" s="1015"/>
      <c r="D372" s="1022"/>
      <c r="E372" s="1020" t="s">
        <v>163</v>
      </c>
      <c r="F372" s="1022"/>
      <c r="G372" s="1023"/>
      <c r="H372" s="761" t="s">
        <v>35</v>
      </c>
      <c r="I372" s="892">
        <f ca="1">IFERROR(__xludf.DUMMYFUNCTION("IMPORTRANGE(""https://docs.google.com/spreadsheets/d/1QqKyyYR6Q21VydFLVH3TRQUabQu_ym0Zz7PgGX0-kHA/edit?usp=sharing"",""แผน!EJ51"")"),300)</f>
        <v>300</v>
      </c>
      <c r="J372" s="892">
        <f ca="1">IFERROR(__xludf.DUMMYFUNCTION("IMPORTRANGE(""https://docs.google.com/spreadsheets/d/1XWAQStnk-4SwqDmLtmXYiTMKHgktTP8We1SCoS47DrQ/edit?usp=sharing"",""จัดที่ดิน!I51"")"),89)</f>
        <v>89</v>
      </c>
      <c r="K372" s="893">
        <f t="shared" ca="1" si="163"/>
        <v>29.666666666666668</v>
      </c>
      <c r="L372" s="1010"/>
      <c r="M372" s="1010"/>
      <c r="N372" s="1010"/>
      <c r="O372" s="1010"/>
      <c r="P372" s="1010"/>
    </row>
    <row r="373" spans="1:26" ht="18.75">
      <c r="A373" s="1224" t="s">
        <v>164</v>
      </c>
      <c r="B373" s="1022"/>
      <c r="C373" s="1015"/>
      <c r="D373" s="1022"/>
      <c r="E373" s="1021"/>
      <c r="F373" s="1022"/>
      <c r="G373" s="1023"/>
      <c r="H373" s="761" t="s">
        <v>46</v>
      </c>
      <c r="I373" s="892">
        <v>0</v>
      </c>
      <c r="J373" s="892">
        <f ca="1">IFERROR(__xludf.DUMMYFUNCTION("IMPORTRANGE(""https://docs.google.com/spreadsheets/d/1XWAQStnk-4SwqDmLtmXYiTMKHgktTP8We1SCoS47DrQ/edit?usp=sharing"",""จัดที่ดิน!J51"")"),502.99)</f>
        <v>502.99</v>
      </c>
      <c r="K373" s="893">
        <f t="shared" si="163"/>
        <v>0</v>
      </c>
      <c r="L373" s="1010"/>
      <c r="M373" s="1010"/>
      <c r="N373" s="1010"/>
      <c r="O373" s="1010"/>
      <c r="P373" s="1010"/>
    </row>
    <row r="374" spans="1:26" ht="19.5">
      <c r="A374" s="1234"/>
      <c r="B374" s="1235"/>
      <c r="C374" s="1236"/>
      <c r="D374" s="1236" t="s">
        <v>168</v>
      </c>
      <c r="E374" s="1237"/>
      <c r="F374" s="1237"/>
      <c r="G374" s="1238"/>
      <c r="H374" s="488" t="s">
        <v>35</v>
      </c>
      <c r="I374" s="1245">
        <f ca="1">IFERROR(__xludf.DUMMYFUNCTION("IMPORTRANGE(""https://docs.google.com/spreadsheets/d/1QqKyyYR6Q21VydFLVH3TRQUabQu_ym0Zz7PgGX0-kHA/edit?usp=sharing"",""แผน!EU51"")"),1500)</f>
        <v>1500</v>
      </c>
      <c r="J374" s="1239">
        <f ca="1">J381</f>
        <v>381</v>
      </c>
      <c r="K374" s="1240">
        <f t="shared" ca="1" si="163"/>
        <v>25.4</v>
      </c>
      <c r="L374" s="1241"/>
      <c r="M374" s="1241"/>
      <c r="N374" s="1241"/>
      <c r="O374" s="1241"/>
      <c r="P374" s="124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4"/>
      <c r="B375" s="1235"/>
      <c r="C375" s="1236"/>
      <c r="D375" s="1242" t="s">
        <v>169</v>
      </c>
      <c r="E375" s="1237"/>
      <c r="F375" s="1237"/>
      <c r="G375" s="1238"/>
      <c r="H375" s="1243"/>
      <c r="I375" s="1244"/>
      <c r="J375" s="1244"/>
      <c r="K375" s="1241"/>
      <c r="L375" s="1241"/>
      <c r="M375" s="1241"/>
      <c r="N375" s="1241"/>
      <c r="O375" s="1241"/>
      <c r="P375" s="124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4"/>
      <c r="B376" s="1015"/>
      <c r="C376" s="1011" t="s">
        <v>16</v>
      </c>
      <c r="D376" s="1016" t="s">
        <v>38</v>
      </c>
      <c r="E376" s="1017"/>
      <c r="F376" s="1017"/>
      <c r="G376" s="1018"/>
      <c r="H376" s="1019"/>
      <c r="I376" s="892"/>
      <c r="J376" s="892"/>
      <c r="K376" s="893"/>
      <c r="L376" s="1010"/>
      <c r="M376" s="1010"/>
      <c r="N376" s="1010"/>
      <c r="O376" s="1010"/>
      <c r="P376" s="1010"/>
    </row>
    <row r="377" spans="1:26" ht="18.75">
      <c r="A377" s="1014"/>
      <c r="B377" s="1022"/>
      <c r="C377" s="1015"/>
      <c r="D377" s="1022"/>
      <c r="E377" s="1020" t="s">
        <v>161</v>
      </c>
      <c r="F377" s="1022"/>
      <c r="G377" s="1023"/>
      <c r="H377" s="185" t="s">
        <v>35</v>
      </c>
      <c r="I377" s="892">
        <v>0</v>
      </c>
      <c r="J377" s="892">
        <f ca="1">IFERROR(__xludf.DUMMYFUNCTION("IMPORTRANGE(""https://docs.google.com/spreadsheets/d/1XWAQStnk-4SwqDmLtmXYiTMKHgktTP8We1SCoS47DrQ/edit?usp=sharing"",""จัดที่ดิน!AH51"")"),565)</f>
        <v>565</v>
      </c>
      <c r="K377" s="893">
        <f t="shared" ref="K377:K382" si="164">IF(I377&gt;0,J377*100/I377,0)</f>
        <v>0</v>
      </c>
      <c r="L377" s="1010"/>
      <c r="M377" s="1010"/>
      <c r="N377" s="1010"/>
      <c r="O377" s="1010"/>
      <c r="P377" s="1010"/>
    </row>
    <row r="378" spans="1:26" ht="18.75">
      <c r="A378" s="1014"/>
      <c r="B378" s="1022"/>
      <c r="C378" s="1015"/>
      <c r="D378" s="1022"/>
      <c r="E378" s="1022"/>
      <c r="F378" s="1022"/>
      <c r="G378" s="1023"/>
      <c r="H378" s="185" t="s">
        <v>46</v>
      </c>
      <c r="I378" s="892">
        <f ca="1">IFERROR(__xludf.DUMMYFUNCTION("IMPORTRANGE(""https://docs.google.com/spreadsheets/d/1QqKyyYR6Q21VydFLVH3TRQUabQu_ym0Zz7PgGX0-kHA/edit?usp=sharing"",""แผน!ET51"")"),13000)</f>
        <v>13000</v>
      </c>
      <c r="J378" s="892">
        <f ca="1">IFERROR(__xludf.DUMMYFUNCTION("IMPORTRANGE(""https://docs.google.com/spreadsheets/d/1XWAQStnk-4SwqDmLtmXYiTMKHgktTP8We1SCoS47DrQ/edit?usp=sharing"",""จัดที่ดิน!AI51"")"),5533.85)</f>
        <v>5533.85</v>
      </c>
      <c r="K378" s="893">
        <f t="shared" ca="1" si="164"/>
        <v>42.568076923076923</v>
      </c>
      <c r="L378" s="1010"/>
      <c r="M378" s="1010"/>
      <c r="N378" s="1010"/>
      <c r="O378" s="1010"/>
      <c r="P378" s="1010"/>
    </row>
    <row r="379" spans="1:26" ht="18.75">
      <c r="A379" s="1014"/>
      <c r="B379" s="1022"/>
      <c r="C379" s="1015"/>
      <c r="D379" s="1022"/>
      <c r="E379" s="1020" t="s">
        <v>162</v>
      </c>
      <c r="F379" s="1022"/>
      <c r="G379" s="1023"/>
      <c r="H379" s="761" t="s">
        <v>35</v>
      </c>
      <c r="I379" s="892">
        <f ca="1">IFERROR(__xludf.DUMMYFUNCTION("IMPORTRANGE(""https://docs.google.com/spreadsheets/d/1QqKyyYR6Q21VydFLVH3TRQUabQu_ym0Zz7PgGX0-kHA/edit?usp=sharing"",""แผน!EU51"")"),1500)</f>
        <v>1500</v>
      </c>
      <c r="J379" s="892">
        <f ca="1">IFERROR(__xludf.DUMMYFUNCTION("IMPORTRANGE(""https://docs.google.com/spreadsheets/d/1XWAQStnk-4SwqDmLtmXYiTMKHgktTP8We1SCoS47DrQ/edit?usp=sharing"",""จัดที่ดิน!AJ51"")"),826)</f>
        <v>826</v>
      </c>
      <c r="K379" s="893">
        <f t="shared" ca="1" si="164"/>
        <v>55.06666666666667</v>
      </c>
      <c r="L379" s="1010"/>
      <c r="M379" s="1010"/>
      <c r="N379" s="1010"/>
      <c r="O379" s="1010"/>
      <c r="P379" s="1010"/>
    </row>
    <row r="380" spans="1:26" ht="18.75">
      <c r="A380" s="1014"/>
      <c r="B380" s="1022"/>
      <c r="C380" s="1015"/>
      <c r="D380" s="1022"/>
      <c r="E380" s="1022"/>
      <c r="F380" s="1022"/>
      <c r="G380" s="1023"/>
      <c r="H380" s="761" t="s">
        <v>46</v>
      </c>
      <c r="I380" s="892">
        <v>0</v>
      </c>
      <c r="J380" s="892">
        <f ca="1">IFERROR(__xludf.DUMMYFUNCTION("IMPORTRANGE(""https://docs.google.com/spreadsheets/d/1XWAQStnk-4SwqDmLtmXYiTMKHgktTP8We1SCoS47DrQ/edit?usp=sharing"",""จัดที่ดิน!AK51"")"),8500.21)</f>
        <v>8500.2099999999991</v>
      </c>
      <c r="K380" s="893">
        <f t="shared" si="164"/>
        <v>0</v>
      </c>
      <c r="L380" s="1010"/>
      <c r="M380" s="1010"/>
      <c r="N380" s="1010"/>
      <c r="O380" s="1010"/>
      <c r="P380" s="1010"/>
    </row>
    <row r="381" spans="1:26" ht="18.75">
      <c r="A381" s="1014"/>
      <c r="B381" s="1022"/>
      <c r="C381" s="1015"/>
      <c r="D381" s="1022"/>
      <c r="E381" s="1020" t="s">
        <v>163</v>
      </c>
      <c r="F381" s="1022"/>
      <c r="G381" s="1023"/>
      <c r="H381" s="761" t="s">
        <v>35</v>
      </c>
      <c r="I381" s="892">
        <f ca="1">IFERROR(__xludf.DUMMYFUNCTION("IMPORTRANGE(""https://docs.google.com/spreadsheets/d/1QqKyyYR6Q21VydFLVH3TRQUabQu_ym0Zz7PgGX0-kHA/edit?usp=sharing"",""แผน!EU51"")"),1500)</f>
        <v>1500</v>
      </c>
      <c r="J381" s="892">
        <f ca="1">IFERROR(__xludf.DUMMYFUNCTION("IMPORTRANGE(""https://docs.google.com/spreadsheets/d/1XWAQStnk-4SwqDmLtmXYiTMKHgktTP8We1SCoS47DrQ/edit?usp=sharing"",""จัดที่ดิน!AL51"")"),381)</f>
        <v>381</v>
      </c>
      <c r="K381" s="893">
        <f t="shared" ca="1" si="164"/>
        <v>25.4</v>
      </c>
      <c r="L381" s="1010"/>
      <c r="M381" s="1010"/>
      <c r="N381" s="1010"/>
      <c r="O381" s="1010"/>
      <c r="P381" s="1010"/>
    </row>
    <row r="382" spans="1:26" ht="18.75">
      <c r="A382" s="1224" t="s">
        <v>164</v>
      </c>
      <c r="B382" s="1022"/>
      <c r="C382" s="1015"/>
      <c r="D382" s="1022"/>
      <c r="E382" s="1021"/>
      <c r="F382" s="1022"/>
      <c r="G382" s="1023"/>
      <c r="H382" s="761" t="s">
        <v>46</v>
      </c>
      <c r="I382" s="892">
        <v>0</v>
      </c>
      <c r="J382" s="892">
        <f ca="1">IFERROR(__xludf.DUMMYFUNCTION("IMPORTRANGE(""https://docs.google.com/spreadsheets/d/1XWAQStnk-4SwqDmLtmXYiTMKHgktTP8We1SCoS47DrQ/edit?usp=sharing"",""จัดที่ดิน!AM51"")"),4241.66)</f>
        <v>4241.66</v>
      </c>
      <c r="K382" s="893">
        <f t="shared" si="164"/>
        <v>0</v>
      </c>
      <c r="L382" s="1010"/>
      <c r="M382" s="1010"/>
      <c r="N382" s="1010"/>
      <c r="O382" s="1010"/>
      <c r="P382" s="1010"/>
    </row>
    <row r="383" spans="1:26" ht="19.5">
      <c r="A383" s="1076"/>
      <c r="B383" s="1083"/>
      <c r="C383" s="1077"/>
      <c r="D383" s="1210" t="s">
        <v>170</v>
      </c>
      <c r="E383" s="1077"/>
      <c r="F383" s="1077"/>
      <c r="G383" s="1079"/>
      <c r="H383" s="1211"/>
      <c r="I383" s="1080"/>
      <c r="J383" s="1080"/>
      <c r="K383" s="1081"/>
      <c r="L383" s="1081"/>
      <c r="M383" s="1081"/>
      <c r="N383" s="1081"/>
      <c r="O383" s="1081"/>
      <c r="P383" s="1081"/>
    </row>
    <row r="384" spans="1:26" ht="19.5">
      <c r="A384" s="1014"/>
      <c r="B384" s="1015"/>
      <c r="C384" s="889" t="s">
        <v>16</v>
      </c>
      <c r="D384" s="1016" t="s">
        <v>38</v>
      </c>
      <c r="E384" s="1017"/>
      <c r="F384" s="1017"/>
      <c r="G384" s="1018"/>
      <c r="H384" s="1019"/>
      <c r="I384" s="892"/>
      <c r="J384" s="892"/>
      <c r="K384" s="893"/>
      <c r="L384" s="1010"/>
      <c r="M384" s="1010"/>
      <c r="N384" s="1010"/>
      <c r="O384" s="1010"/>
      <c r="P384" s="1010"/>
    </row>
    <row r="385" spans="1:26" ht="18.75">
      <c r="A385" s="1144"/>
      <c r="B385" s="1147"/>
      <c r="C385" s="1145"/>
      <c r="D385" s="1147"/>
      <c r="E385" s="1250" t="s">
        <v>171</v>
      </c>
      <c r="F385" s="1147"/>
      <c r="G385" s="1148"/>
      <c r="H385" s="503" t="s">
        <v>35</v>
      </c>
      <c r="I385" s="1149">
        <f ca="1">IFERROR(__xludf.DUMMYFUNCTION("IMPORTRANGE(""https://docs.google.com/spreadsheets/d/1QqKyyYR6Q21VydFLVH3TRQUabQu_ym0Zz7PgGX0-kHA/edit?usp=sharing"",""แผน!EW51"")"),70)</f>
        <v>70</v>
      </c>
      <c r="J385" s="1149">
        <f ca="1">IFERROR(__xludf.DUMMYFUNCTION("IMPORTRANGE(""https://docs.google.com/spreadsheets/d/1XWAQStnk-4SwqDmLtmXYiTMKHgktTP8We1SCoS47DrQ/edit?usp=sharing"",""จัดที่ดิน!AP51"")"),4)</f>
        <v>4</v>
      </c>
      <c r="K385" s="1251">
        <f ca="1">IF(I385&gt;0,J385*100/I385,0)</f>
        <v>5.7142857142857144</v>
      </c>
      <c r="L385" s="1150"/>
      <c r="M385" s="1150"/>
      <c r="N385" s="1150"/>
      <c r="O385" s="1150"/>
      <c r="P385" s="1150"/>
    </row>
    <row r="386" spans="1:26" ht="19.5" hidden="1">
      <c r="A386" s="1252" t="s">
        <v>172</v>
      </c>
      <c r="B386" s="1253"/>
      <c r="C386" s="1253"/>
      <c r="D386" s="1253"/>
      <c r="E386" s="1254"/>
      <c r="F386" s="1254"/>
      <c r="G386" s="1255"/>
      <c r="H386" s="1256"/>
      <c r="I386" s="1257"/>
      <c r="J386" s="1257"/>
      <c r="K386" s="1258"/>
      <c r="L386" s="1258"/>
      <c r="M386" s="1258"/>
      <c r="N386" s="1258"/>
      <c r="O386" s="1258"/>
      <c r="P386" s="1258"/>
    </row>
    <row r="387" spans="1:26" ht="19.5" hidden="1">
      <c r="A387" s="1259" t="s">
        <v>173</v>
      </c>
      <c r="B387" s="1260"/>
      <c r="C387" s="1260"/>
      <c r="D387" s="1261"/>
      <c r="E387" s="1260"/>
      <c r="F387" s="1260"/>
      <c r="G387" s="1260"/>
      <c r="H387" s="1262"/>
      <c r="I387" s="1263"/>
      <c r="J387" s="1263"/>
      <c r="K387" s="1264"/>
      <c r="L387" s="1264"/>
      <c r="M387" s="1264"/>
      <c r="N387" s="1264"/>
      <c r="O387" s="1264"/>
      <c r="P387" s="1264"/>
    </row>
    <row r="388" spans="1:26" ht="19.5" hidden="1">
      <c r="A388" s="1265"/>
      <c r="B388" s="1266" t="s">
        <v>174</v>
      </c>
      <c r="C388" s="1267"/>
      <c r="D388" s="1268"/>
      <c r="E388" s="1268"/>
      <c r="F388" s="1268"/>
      <c r="G388" s="1269"/>
      <c r="H388" s="524" t="s">
        <v>66</v>
      </c>
      <c r="I388" s="1270">
        <f t="shared" ref="I388:J388" si="165">I400</f>
        <v>0</v>
      </c>
      <c r="J388" s="1270">
        <f t="shared" si="165"/>
        <v>0</v>
      </c>
      <c r="K388" s="1271">
        <f>IF(I388&gt;0,J388*100/I388,0)</f>
        <v>0</v>
      </c>
      <c r="L388" s="1272"/>
      <c r="M388" s="1272"/>
      <c r="N388" s="1272"/>
      <c r="O388" s="1272"/>
      <c r="P388" s="1272"/>
    </row>
    <row r="389" spans="1:26" ht="19.5" hidden="1">
      <c r="A389" s="997"/>
      <c r="B389" s="998"/>
      <c r="C389" s="999" t="s">
        <v>16</v>
      </c>
      <c r="D389" s="1000" t="s">
        <v>17</v>
      </c>
      <c r="E389" s="998"/>
      <c r="F389" s="998"/>
      <c r="G389" s="1001"/>
      <c r="H389" s="152" t="s">
        <v>12</v>
      </c>
      <c r="I389" s="1002"/>
      <c r="J389" s="1002"/>
      <c r="K389" s="1003"/>
      <c r="L389" s="1004">
        <f t="shared" ref="L389:N389" ca="1" si="166">L390+L391</f>
        <v>0</v>
      </c>
      <c r="M389" s="1004">
        <f t="shared" ca="1" si="166"/>
        <v>0</v>
      </c>
      <c r="N389" s="1004">
        <f t="shared" ca="1" si="166"/>
        <v>0</v>
      </c>
      <c r="O389" s="1004">
        <f t="shared" ref="O389:O397" ca="1" si="167">IF(L389&gt;0,N389*100/L389,0)</f>
        <v>0</v>
      </c>
      <c r="P389" s="1004">
        <f t="shared" ref="P389:P397" ca="1" si="168">IF(M389&gt;0,N389*100/M389,0)</f>
        <v>0</v>
      </c>
      <c r="Q389" s="880"/>
      <c r="R389" s="880"/>
      <c r="S389" s="880"/>
      <c r="T389" s="880"/>
      <c r="U389" s="880"/>
      <c r="V389" s="880"/>
      <c r="W389" s="880"/>
      <c r="X389" s="880"/>
      <c r="Y389" s="880"/>
      <c r="Z389" s="880"/>
    </row>
    <row r="390" spans="1:26" ht="18.75" hidden="1">
      <c r="A390" s="1005"/>
      <c r="B390" s="895"/>
      <c r="C390" s="895"/>
      <c r="D390" s="895"/>
      <c r="E390" s="896" t="s">
        <v>18</v>
      </c>
      <c r="F390" s="895"/>
      <c r="G390" s="1006"/>
      <c r="H390" s="158" t="s">
        <v>12</v>
      </c>
      <c r="I390" s="898"/>
      <c r="J390" s="898"/>
      <c r="K390" s="899"/>
      <c r="L390" s="899">
        <f t="shared" ref="L390:N391" si="169">L393+L396</f>
        <v>0</v>
      </c>
      <c r="M390" s="899">
        <f t="shared" si="169"/>
        <v>0</v>
      </c>
      <c r="N390" s="899">
        <f t="shared" si="169"/>
        <v>0</v>
      </c>
      <c r="O390" s="899">
        <f t="shared" si="167"/>
        <v>0</v>
      </c>
      <c r="P390" s="899">
        <f t="shared" si="168"/>
        <v>0</v>
      </c>
      <c r="Q390" s="887"/>
      <c r="R390" s="887"/>
      <c r="S390" s="887"/>
      <c r="T390" s="887"/>
      <c r="U390" s="887"/>
      <c r="V390" s="887"/>
      <c r="W390" s="887"/>
      <c r="X390" s="887"/>
      <c r="Y390" s="887"/>
      <c r="Z390" s="887"/>
    </row>
    <row r="391" spans="1:26" ht="18.75" hidden="1">
      <c r="A391" s="1005"/>
      <c r="B391" s="895"/>
      <c r="C391" s="895"/>
      <c r="D391" s="895"/>
      <c r="E391" s="896" t="s">
        <v>19</v>
      </c>
      <c r="F391" s="895"/>
      <c r="G391" s="1006"/>
      <c r="H391" s="158" t="s">
        <v>12</v>
      </c>
      <c r="I391" s="898"/>
      <c r="J391" s="898"/>
      <c r="K391" s="899"/>
      <c r="L391" s="899">
        <f t="shared" ca="1" si="169"/>
        <v>0</v>
      </c>
      <c r="M391" s="899">
        <f t="shared" ca="1" si="169"/>
        <v>0</v>
      </c>
      <c r="N391" s="899">
        <f t="shared" ca="1" si="169"/>
        <v>0</v>
      </c>
      <c r="O391" s="899">
        <f t="shared" ca="1" si="167"/>
        <v>0</v>
      </c>
      <c r="P391" s="899">
        <f t="shared" ca="1" si="168"/>
        <v>0</v>
      </c>
      <c r="Q391" s="887"/>
      <c r="R391" s="887"/>
      <c r="S391" s="887"/>
      <c r="T391" s="887"/>
      <c r="U391" s="887"/>
      <c r="V391" s="887"/>
      <c r="W391" s="887"/>
      <c r="X391" s="887"/>
      <c r="Y391" s="887"/>
      <c r="Z391" s="887"/>
    </row>
    <row r="392" spans="1:26" ht="18.75" hidden="1">
      <c r="A392" s="1007"/>
      <c r="B392" s="889"/>
      <c r="C392" s="1008"/>
      <c r="D392" s="890" t="s">
        <v>20</v>
      </c>
      <c r="E392" s="889"/>
      <c r="F392" s="889"/>
      <c r="G392" s="891"/>
      <c r="H392" s="161" t="s">
        <v>12</v>
      </c>
      <c r="I392" s="1009"/>
      <c r="J392" s="1009"/>
      <c r="K392" s="1010"/>
      <c r="L392" s="893">
        <f t="shared" ref="L392:N392" ca="1" si="170">L393+L394</f>
        <v>0</v>
      </c>
      <c r="M392" s="893">
        <f t="shared" ca="1" si="170"/>
        <v>0</v>
      </c>
      <c r="N392" s="893">
        <f t="shared" ca="1" si="170"/>
        <v>0</v>
      </c>
      <c r="O392" s="893">
        <f t="shared" ca="1" si="167"/>
        <v>0</v>
      </c>
      <c r="P392" s="893">
        <f t="shared" ca="1" si="168"/>
        <v>0</v>
      </c>
      <c r="Q392" s="880"/>
      <c r="R392" s="880"/>
      <c r="S392" s="880"/>
      <c r="T392" s="880"/>
      <c r="U392" s="880"/>
      <c r="V392" s="880"/>
      <c r="W392" s="880"/>
      <c r="X392" s="880"/>
      <c r="Y392" s="880"/>
      <c r="Z392" s="880"/>
    </row>
    <row r="393" spans="1:26" ht="19.5" hidden="1">
      <c r="A393" s="1005"/>
      <c r="B393" s="895"/>
      <c r="C393" s="1011"/>
      <c r="D393" s="895"/>
      <c r="E393" s="896" t="s">
        <v>36</v>
      </c>
      <c r="F393" s="895"/>
      <c r="G393" s="1006"/>
      <c r="H393" s="165" t="s">
        <v>12</v>
      </c>
      <c r="I393" s="1012"/>
      <c r="J393" s="1012"/>
      <c r="K393" s="1013"/>
      <c r="L393" s="899">
        <v>0</v>
      </c>
      <c r="M393" s="899">
        <v>0</v>
      </c>
      <c r="N393" s="899">
        <v>0</v>
      </c>
      <c r="O393" s="899">
        <f t="shared" si="167"/>
        <v>0</v>
      </c>
      <c r="P393" s="899">
        <f t="shared" si="168"/>
        <v>0</v>
      </c>
      <c r="Q393" s="887"/>
      <c r="R393" s="887"/>
      <c r="S393" s="887"/>
      <c r="T393" s="887"/>
      <c r="U393" s="887"/>
      <c r="V393" s="887"/>
      <c r="W393" s="887"/>
      <c r="X393" s="887"/>
      <c r="Y393" s="887"/>
      <c r="Z393" s="887"/>
    </row>
    <row r="394" spans="1:26" ht="19.5" hidden="1">
      <c r="A394" s="1005"/>
      <c r="B394" s="895"/>
      <c r="C394" s="1011"/>
      <c r="D394" s="895"/>
      <c r="E394" s="896" t="s">
        <v>37</v>
      </c>
      <c r="F394" s="895"/>
      <c r="G394" s="1006"/>
      <c r="H394" s="165" t="s">
        <v>12</v>
      </c>
      <c r="I394" s="1012"/>
      <c r="J394" s="1012"/>
      <c r="K394" s="1013"/>
      <c r="L394" s="899">
        <f ca="1">IFERROR(__xludf.DUMMYFUNCTION("IMPORTRANGE(""https://docs.google.com/spreadsheets/d/1MeEWN-I1oV_STSDYn1IFDPWt_1FKiwhDph83XaGc0o0/edit?usp=sharing"",""งบพรบ!FG51"")"),0)</f>
        <v>0</v>
      </c>
      <c r="M394" s="899">
        <f ca="1">IFERROR(__xludf.DUMMYFUNCTION("IMPORTRANGE(""https://docs.google.com/spreadsheets/d/1MeEWN-I1oV_STSDYn1IFDPWt_1FKiwhDph83XaGc0o0/edit?usp=sharing"",""งบพรบ!FL51"")"),0)</f>
        <v>0</v>
      </c>
      <c r="N394" s="899">
        <f ca="1">IFERROR(__xludf.DUMMYFUNCTION("IMPORTRANGE(""https://docs.google.com/spreadsheets/d/1MeEWN-I1oV_STSDYn1IFDPWt_1FKiwhDph83XaGc0o0/edit?usp=sharing"",""งบพรบ!FN51"")"),0)</f>
        <v>0</v>
      </c>
      <c r="O394" s="899">
        <f t="shared" ca="1" si="167"/>
        <v>0</v>
      </c>
      <c r="P394" s="899">
        <f t="shared" ca="1" si="168"/>
        <v>0</v>
      </c>
      <c r="Q394" s="887"/>
      <c r="R394" s="887"/>
      <c r="S394" s="887"/>
      <c r="T394" s="887"/>
      <c r="U394" s="887"/>
      <c r="V394" s="887"/>
      <c r="W394" s="887"/>
      <c r="X394" s="887"/>
      <c r="Y394" s="887"/>
      <c r="Z394" s="887"/>
    </row>
    <row r="395" spans="1:26" ht="18.75" hidden="1">
      <c r="A395" s="1007"/>
      <c r="B395" s="889"/>
      <c r="C395" s="1008"/>
      <c r="D395" s="890" t="s">
        <v>21</v>
      </c>
      <c r="E395" s="889"/>
      <c r="F395" s="889"/>
      <c r="G395" s="891"/>
      <c r="H395" s="168" t="s">
        <v>12</v>
      </c>
      <c r="I395" s="1009"/>
      <c r="J395" s="1009"/>
      <c r="K395" s="1010"/>
      <c r="L395" s="893">
        <f t="shared" ref="L395:N395" ca="1" si="171">L396+L397</f>
        <v>0</v>
      </c>
      <c r="M395" s="893">
        <f t="shared" ca="1" si="171"/>
        <v>0</v>
      </c>
      <c r="N395" s="893">
        <f t="shared" ca="1" si="171"/>
        <v>0</v>
      </c>
      <c r="O395" s="893">
        <f t="shared" ca="1" si="167"/>
        <v>0</v>
      </c>
      <c r="P395" s="893">
        <f t="shared" ca="1" si="168"/>
        <v>0</v>
      </c>
      <c r="Q395" s="880"/>
      <c r="R395" s="880"/>
      <c r="S395" s="880"/>
      <c r="T395" s="880"/>
      <c r="U395" s="880"/>
      <c r="V395" s="880"/>
      <c r="W395" s="880"/>
      <c r="X395" s="880"/>
      <c r="Y395" s="880"/>
      <c r="Z395" s="880"/>
    </row>
    <row r="396" spans="1:26" ht="19.5" hidden="1">
      <c r="A396" s="1005"/>
      <c r="B396" s="895"/>
      <c r="C396" s="1011"/>
      <c r="D396" s="895"/>
      <c r="E396" s="896" t="s">
        <v>18</v>
      </c>
      <c r="F396" s="895"/>
      <c r="G396" s="1006"/>
      <c r="H396" s="165" t="s">
        <v>12</v>
      </c>
      <c r="I396" s="1012"/>
      <c r="J396" s="1012"/>
      <c r="K396" s="1013"/>
      <c r="L396" s="899">
        <v>0</v>
      </c>
      <c r="M396" s="899">
        <v>0</v>
      </c>
      <c r="N396" s="899">
        <v>0</v>
      </c>
      <c r="O396" s="899">
        <f t="shared" si="167"/>
        <v>0</v>
      </c>
      <c r="P396" s="899">
        <f t="shared" si="168"/>
        <v>0</v>
      </c>
      <c r="Q396" s="887"/>
      <c r="R396" s="887"/>
      <c r="S396" s="887"/>
      <c r="T396" s="887"/>
      <c r="U396" s="887"/>
      <c r="V396" s="887"/>
      <c r="W396" s="887"/>
      <c r="X396" s="887"/>
      <c r="Y396" s="887"/>
      <c r="Z396" s="887"/>
    </row>
    <row r="397" spans="1:26" ht="19.5" hidden="1">
      <c r="A397" s="1005"/>
      <c r="B397" s="895"/>
      <c r="C397" s="1011"/>
      <c r="D397" s="895"/>
      <c r="E397" s="896" t="s">
        <v>19</v>
      </c>
      <c r="F397" s="895"/>
      <c r="G397" s="1006"/>
      <c r="H397" s="169" t="s">
        <v>12</v>
      </c>
      <c r="I397" s="1012"/>
      <c r="J397" s="1012"/>
      <c r="K397" s="1013"/>
      <c r="L397" s="899">
        <f ca="1">IFERROR(__xludf.DUMMYFUNCTION("IMPORTRANGE(""https://docs.google.com/spreadsheets/d/1MeEWN-I1oV_STSDYn1IFDPWt_1FKiwhDph83XaGc0o0/edit?usp=sharing"",""งบพรบ!FJ51"")"),0)</f>
        <v>0</v>
      </c>
      <c r="M397" s="899">
        <f ca="1">IFERROR(__xludf.DUMMYFUNCTION("IMPORTRANGE(""https://docs.google.com/spreadsheets/d/1MeEWN-I1oV_STSDYn1IFDPWt_1FKiwhDph83XaGc0o0/edit?usp=sharing"",""งบพรบ!FM51"")"),0)</f>
        <v>0</v>
      </c>
      <c r="N397" s="899">
        <f ca="1">IFERROR(__xludf.DUMMYFUNCTION("IMPORTRANGE(""https://docs.google.com/spreadsheets/d/1MeEWN-I1oV_STSDYn1IFDPWt_1FKiwhDph83XaGc0o0/edit?usp=sharing"",""งบพรบ!FO51"")"),0)</f>
        <v>0</v>
      </c>
      <c r="O397" s="899">
        <f t="shared" ca="1" si="167"/>
        <v>0</v>
      </c>
      <c r="P397" s="899">
        <f t="shared" ca="1" si="168"/>
        <v>0</v>
      </c>
      <c r="Q397" s="887"/>
      <c r="R397" s="887"/>
      <c r="S397" s="887"/>
      <c r="T397" s="887"/>
      <c r="U397" s="887"/>
      <c r="V397" s="887"/>
      <c r="W397" s="887"/>
      <c r="X397" s="887"/>
      <c r="Y397" s="887"/>
      <c r="Z397" s="887"/>
    </row>
    <row r="398" spans="1:26" ht="19.5" hidden="1">
      <c r="A398" s="1014"/>
      <c r="B398" s="1015"/>
      <c r="C398" s="1011" t="s">
        <v>16</v>
      </c>
      <c r="D398" s="1016" t="s">
        <v>38</v>
      </c>
      <c r="E398" s="1017"/>
      <c r="F398" s="1017"/>
      <c r="G398" s="1018"/>
      <c r="H398" s="1019"/>
      <c r="I398" s="1009"/>
      <c r="J398" s="892"/>
      <c r="K398" s="893"/>
      <c r="L398" s="893"/>
      <c r="M398" s="893"/>
      <c r="N398" s="893"/>
      <c r="O398" s="1010"/>
      <c r="P398" s="1010"/>
    </row>
    <row r="399" spans="1:26" ht="18.75" hidden="1">
      <c r="A399" s="1273"/>
      <c r="B399" s="998"/>
      <c r="C399" s="1274"/>
      <c r="D399" s="1033" t="s">
        <v>175</v>
      </c>
      <c r="E399" s="1178"/>
      <c r="F399" s="998"/>
      <c r="G399" s="1001"/>
      <c r="H399" s="531" t="s">
        <v>9</v>
      </c>
      <c r="I399" s="892">
        <v>0</v>
      </c>
      <c r="J399" s="1024">
        <v>0</v>
      </c>
      <c r="K399" s="893">
        <f t="shared" ref="K399:K401" si="172">IF(I399&gt;0,J399*100/I399,0)</f>
        <v>0</v>
      </c>
      <c r="L399" s="1275"/>
      <c r="M399" s="1275"/>
      <c r="N399" s="1275"/>
      <c r="O399" s="1275"/>
      <c r="P399" s="1275"/>
      <c r="Q399" s="880"/>
      <c r="R399" s="880"/>
      <c r="S399" s="880"/>
      <c r="T399" s="880"/>
      <c r="U399" s="880"/>
      <c r="V399" s="880"/>
      <c r="W399" s="880"/>
      <c r="X399" s="880"/>
      <c r="Y399" s="880"/>
      <c r="Z399" s="880"/>
    </row>
    <row r="400" spans="1:26" ht="18.75" hidden="1">
      <c r="A400" s="1097"/>
      <c r="B400" s="889"/>
      <c r="C400" s="1095"/>
      <c r="D400" s="1021" t="s">
        <v>176</v>
      </c>
      <c r="E400" s="1015"/>
      <c r="F400" s="889"/>
      <c r="G400" s="891"/>
      <c r="H400" s="277" t="s">
        <v>66</v>
      </c>
      <c r="I400" s="892">
        <v>0</v>
      </c>
      <c r="J400" s="1024">
        <v>0</v>
      </c>
      <c r="K400" s="893">
        <f t="shared" si="172"/>
        <v>0</v>
      </c>
      <c r="L400" s="893"/>
      <c r="M400" s="893"/>
      <c r="N400" s="893"/>
      <c r="O400" s="893"/>
      <c r="P400" s="893"/>
    </row>
    <row r="401" spans="1:26" ht="19.5" hidden="1">
      <c r="A401" s="1265"/>
      <c r="B401" s="1266" t="s">
        <v>177</v>
      </c>
      <c r="C401" s="1267"/>
      <c r="D401" s="1268"/>
      <c r="E401" s="1268"/>
      <c r="F401" s="1268"/>
      <c r="G401" s="1269"/>
      <c r="H401" s="524" t="s">
        <v>66</v>
      </c>
      <c r="I401" s="1270">
        <f t="shared" ref="I401:J401" si="173">I412</f>
        <v>0</v>
      </c>
      <c r="J401" s="1270">
        <f t="shared" si="173"/>
        <v>0</v>
      </c>
      <c r="K401" s="1271">
        <f t="shared" si="172"/>
        <v>0</v>
      </c>
      <c r="L401" s="1272"/>
      <c r="M401" s="1272"/>
      <c r="N401" s="1272"/>
      <c r="O401" s="1272"/>
      <c r="P401" s="1272"/>
    </row>
    <row r="402" spans="1:26" ht="19.5" hidden="1">
      <c r="A402" s="997"/>
      <c r="B402" s="998"/>
      <c r="C402" s="999" t="s">
        <v>16</v>
      </c>
      <c r="D402" s="1000" t="s">
        <v>17</v>
      </c>
      <c r="E402" s="998"/>
      <c r="F402" s="998"/>
      <c r="G402" s="1001"/>
      <c r="H402" s="152" t="s">
        <v>12</v>
      </c>
      <c r="I402" s="1002"/>
      <c r="J402" s="1002"/>
      <c r="K402" s="1003"/>
      <c r="L402" s="1004">
        <f t="shared" ref="L402:N402" ca="1" si="174">L403+L404</f>
        <v>0</v>
      </c>
      <c r="M402" s="1004">
        <f t="shared" ca="1" si="174"/>
        <v>0</v>
      </c>
      <c r="N402" s="1004">
        <f t="shared" ca="1" si="174"/>
        <v>0</v>
      </c>
      <c r="O402" s="1004">
        <f t="shared" ref="O402:O410" ca="1" si="175">IF(L402&gt;0,N402*100/L402,0)</f>
        <v>0</v>
      </c>
      <c r="P402" s="1004">
        <f t="shared" ref="P402:P410" ca="1" si="176">IF(M402&gt;0,N402*100/M402,0)</f>
        <v>0</v>
      </c>
      <c r="Q402" s="880"/>
      <c r="R402" s="880"/>
      <c r="S402" s="880"/>
      <c r="T402" s="880"/>
      <c r="U402" s="880"/>
      <c r="V402" s="880"/>
      <c r="W402" s="880"/>
      <c r="X402" s="880"/>
      <c r="Y402" s="880"/>
      <c r="Z402" s="880"/>
    </row>
    <row r="403" spans="1:26" ht="18.75" hidden="1">
      <c r="A403" s="1005"/>
      <c r="B403" s="895"/>
      <c r="C403" s="895"/>
      <c r="D403" s="895"/>
      <c r="E403" s="896" t="s">
        <v>18</v>
      </c>
      <c r="F403" s="895"/>
      <c r="G403" s="1006"/>
      <c r="H403" s="158" t="s">
        <v>12</v>
      </c>
      <c r="I403" s="898"/>
      <c r="J403" s="898"/>
      <c r="K403" s="899"/>
      <c r="L403" s="899">
        <f t="shared" ref="L403:N404" si="177">L406+L409</f>
        <v>0</v>
      </c>
      <c r="M403" s="899">
        <f t="shared" si="177"/>
        <v>0</v>
      </c>
      <c r="N403" s="899">
        <f t="shared" si="177"/>
        <v>0</v>
      </c>
      <c r="O403" s="899">
        <f t="shared" si="175"/>
        <v>0</v>
      </c>
      <c r="P403" s="899">
        <f t="shared" si="176"/>
        <v>0</v>
      </c>
      <c r="Q403" s="887"/>
      <c r="R403" s="887"/>
      <c r="S403" s="887"/>
      <c r="T403" s="887"/>
      <c r="U403" s="887"/>
      <c r="V403" s="887"/>
      <c r="W403" s="887"/>
      <c r="X403" s="887"/>
      <c r="Y403" s="887"/>
      <c r="Z403" s="887"/>
    </row>
    <row r="404" spans="1:26" ht="18.75" hidden="1">
      <c r="A404" s="1005"/>
      <c r="B404" s="895"/>
      <c r="C404" s="895"/>
      <c r="D404" s="895"/>
      <c r="E404" s="896" t="s">
        <v>19</v>
      </c>
      <c r="F404" s="895"/>
      <c r="G404" s="1006"/>
      <c r="H404" s="158" t="s">
        <v>12</v>
      </c>
      <c r="I404" s="898"/>
      <c r="J404" s="898"/>
      <c r="K404" s="899"/>
      <c r="L404" s="899">
        <f t="shared" ca="1" si="177"/>
        <v>0</v>
      </c>
      <c r="M404" s="899">
        <f t="shared" ca="1" si="177"/>
        <v>0</v>
      </c>
      <c r="N404" s="899">
        <f t="shared" ca="1" si="177"/>
        <v>0</v>
      </c>
      <c r="O404" s="899">
        <f t="shared" ca="1" si="175"/>
        <v>0</v>
      </c>
      <c r="P404" s="899">
        <f t="shared" ca="1" si="176"/>
        <v>0</v>
      </c>
      <c r="Q404" s="887"/>
      <c r="R404" s="887"/>
      <c r="S404" s="887"/>
      <c r="T404" s="887"/>
      <c r="U404" s="887"/>
      <c r="V404" s="887"/>
      <c r="W404" s="887"/>
      <c r="X404" s="887"/>
      <c r="Y404" s="887"/>
      <c r="Z404" s="887"/>
    </row>
    <row r="405" spans="1:26" ht="18.75" hidden="1">
      <c r="A405" s="1007"/>
      <c r="B405" s="889"/>
      <c r="C405" s="1008"/>
      <c r="D405" s="890" t="s">
        <v>20</v>
      </c>
      <c r="E405" s="889"/>
      <c r="F405" s="889"/>
      <c r="G405" s="891"/>
      <c r="H405" s="161" t="s">
        <v>12</v>
      </c>
      <c r="I405" s="1009"/>
      <c r="J405" s="1009"/>
      <c r="K405" s="1010"/>
      <c r="L405" s="893">
        <f t="shared" ref="L405:N405" ca="1" si="178">L406+L407</f>
        <v>0</v>
      </c>
      <c r="M405" s="893">
        <f t="shared" ca="1" si="178"/>
        <v>0</v>
      </c>
      <c r="N405" s="893">
        <f t="shared" ca="1" si="178"/>
        <v>0</v>
      </c>
      <c r="O405" s="893">
        <f t="shared" ca="1" si="175"/>
        <v>0</v>
      </c>
      <c r="P405" s="893">
        <f t="shared" ca="1" si="176"/>
        <v>0</v>
      </c>
      <c r="Q405" s="880"/>
      <c r="R405" s="880"/>
      <c r="S405" s="880"/>
      <c r="T405" s="880"/>
      <c r="U405" s="880"/>
      <c r="V405" s="880"/>
      <c r="W405" s="880"/>
      <c r="X405" s="880"/>
      <c r="Y405" s="880"/>
      <c r="Z405" s="880"/>
    </row>
    <row r="406" spans="1:26" ht="19.5" hidden="1">
      <c r="A406" s="1005"/>
      <c r="B406" s="895"/>
      <c r="C406" s="1011"/>
      <c r="D406" s="895"/>
      <c r="E406" s="896" t="s">
        <v>36</v>
      </c>
      <c r="F406" s="895"/>
      <c r="G406" s="1006"/>
      <c r="H406" s="165" t="s">
        <v>12</v>
      </c>
      <c r="I406" s="1012"/>
      <c r="J406" s="1012"/>
      <c r="K406" s="1013"/>
      <c r="L406" s="899">
        <v>0</v>
      </c>
      <c r="M406" s="899">
        <v>0</v>
      </c>
      <c r="N406" s="899">
        <v>0</v>
      </c>
      <c r="O406" s="899">
        <f t="shared" si="175"/>
        <v>0</v>
      </c>
      <c r="P406" s="899">
        <f t="shared" si="176"/>
        <v>0</v>
      </c>
      <c r="Q406" s="887"/>
      <c r="R406" s="887"/>
      <c r="S406" s="887"/>
      <c r="T406" s="887"/>
      <c r="U406" s="887"/>
      <c r="V406" s="887"/>
      <c r="W406" s="887"/>
      <c r="X406" s="887"/>
      <c r="Y406" s="887"/>
      <c r="Z406" s="887"/>
    </row>
    <row r="407" spans="1:26" ht="19.5" hidden="1">
      <c r="A407" s="1005"/>
      <c r="B407" s="895"/>
      <c r="C407" s="1011"/>
      <c r="D407" s="895"/>
      <c r="E407" s="896" t="s">
        <v>37</v>
      </c>
      <c r="F407" s="895"/>
      <c r="G407" s="1006"/>
      <c r="H407" s="165" t="s">
        <v>12</v>
      </c>
      <c r="I407" s="1012"/>
      <c r="J407" s="1012"/>
      <c r="K407" s="1013"/>
      <c r="L407" s="899">
        <f ca="1">IFERROR(__xludf.DUMMYFUNCTION("IMPORTRANGE(""https://docs.google.com/spreadsheets/d/1MeEWN-I1oV_STSDYn1IFDPWt_1FKiwhDph83XaGc0o0/edit?usp=sharing"",""งบพรบ!FQ51"")"),0)</f>
        <v>0</v>
      </c>
      <c r="M407" s="899">
        <f ca="1">IFERROR(__xludf.DUMMYFUNCTION("IMPORTRANGE(""https://docs.google.com/spreadsheets/d/1MeEWN-I1oV_STSDYn1IFDPWt_1FKiwhDph83XaGc0o0/edit?usp=sharing"",""งบพรบ!FV51"")"),0)</f>
        <v>0</v>
      </c>
      <c r="N407" s="899">
        <f ca="1">IFERROR(__xludf.DUMMYFUNCTION("IMPORTRANGE(""https://docs.google.com/spreadsheets/d/1MeEWN-I1oV_STSDYn1IFDPWt_1FKiwhDph83XaGc0o0/edit?usp=sharing"",""งบพรบ!FX51"")"),0)</f>
        <v>0</v>
      </c>
      <c r="O407" s="899">
        <f t="shared" ca="1" si="175"/>
        <v>0</v>
      </c>
      <c r="P407" s="899">
        <f t="shared" ca="1" si="176"/>
        <v>0</v>
      </c>
      <c r="Q407" s="887"/>
      <c r="R407" s="887"/>
      <c r="S407" s="887"/>
      <c r="T407" s="887"/>
      <c r="U407" s="887"/>
      <c r="V407" s="887"/>
      <c r="W407" s="887"/>
      <c r="X407" s="887"/>
      <c r="Y407" s="887"/>
      <c r="Z407" s="887"/>
    </row>
    <row r="408" spans="1:26" ht="18.75" hidden="1">
      <c r="A408" s="1007"/>
      <c r="B408" s="889"/>
      <c r="C408" s="1008"/>
      <c r="D408" s="890" t="s">
        <v>21</v>
      </c>
      <c r="E408" s="889"/>
      <c r="F408" s="889"/>
      <c r="G408" s="891"/>
      <c r="H408" s="168" t="s">
        <v>12</v>
      </c>
      <c r="I408" s="1009"/>
      <c r="J408" s="1009"/>
      <c r="K408" s="1010"/>
      <c r="L408" s="893">
        <f t="shared" ref="L408:N408" ca="1" si="179">L409+L410</f>
        <v>0</v>
      </c>
      <c r="M408" s="893">
        <f t="shared" ca="1" si="179"/>
        <v>0</v>
      </c>
      <c r="N408" s="893">
        <f t="shared" ca="1" si="179"/>
        <v>0</v>
      </c>
      <c r="O408" s="893">
        <f t="shared" ca="1" si="175"/>
        <v>0</v>
      </c>
      <c r="P408" s="893">
        <f t="shared" ca="1" si="176"/>
        <v>0</v>
      </c>
      <c r="Q408" s="880"/>
      <c r="R408" s="880"/>
      <c r="S408" s="880"/>
      <c r="T408" s="880"/>
      <c r="U408" s="880"/>
      <c r="V408" s="880"/>
      <c r="W408" s="880"/>
      <c r="X408" s="880"/>
      <c r="Y408" s="880"/>
      <c r="Z408" s="880"/>
    </row>
    <row r="409" spans="1:26" ht="19.5" hidden="1">
      <c r="A409" s="1005"/>
      <c r="B409" s="895"/>
      <c r="C409" s="1011"/>
      <c r="D409" s="895"/>
      <c r="E409" s="896" t="s">
        <v>18</v>
      </c>
      <c r="F409" s="895"/>
      <c r="G409" s="1006"/>
      <c r="H409" s="165" t="s">
        <v>12</v>
      </c>
      <c r="I409" s="1012"/>
      <c r="J409" s="1012"/>
      <c r="K409" s="1013"/>
      <c r="L409" s="899">
        <v>0</v>
      </c>
      <c r="M409" s="899">
        <v>0</v>
      </c>
      <c r="N409" s="899">
        <v>0</v>
      </c>
      <c r="O409" s="899">
        <f t="shared" si="175"/>
        <v>0</v>
      </c>
      <c r="P409" s="899">
        <f t="shared" si="176"/>
        <v>0</v>
      </c>
      <c r="Q409" s="887"/>
      <c r="R409" s="887"/>
      <c r="S409" s="887"/>
      <c r="T409" s="887"/>
      <c r="U409" s="887"/>
      <c r="V409" s="887"/>
      <c r="W409" s="887"/>
      <c r="X409" s="887"/>
      <c r="Y409" s="887"/>
      <c r="Z409" s="887"/>
    </row>
    <row r="410" spans="1:26" ht="19.5" hidden="1">
      <c r="A410" s="1005"/>
      <c r="B410" s="895"/>
      <c r="C410" s="1011"/>
      <c r="D410" s="895"/>
      <c r="E410" s="896" t="s">
        <v>19</v>
      </c>
      <c r="F410" s="895"/>
      <c r="G410" s="1006"/>
      <c r="H410" s="169" t="s">
        <v>12</v>
      </c>
      <c r="I410" s="1012"/>
      <c r="J410" s="1012"/>
      <c r="K410" s="1013"/>
      <c r="L410" s="899">
        <f ca="1">IFERROR(__xludf.DUMMYFUNCTION("IMPORTRANGE(""https://docs.google.com/spreadsheets/d/1MeEWN-I1oV_STSDYn1IFDPWt_1FKiwhDph83XaGc0o0/edit?usp=sharing"",""งบพรบ!FT51"")"),0)</f>
        <v>0</v>
      </c>
      <c r="M410" s="899">
        <f ca="1">IFERROR(__xludf.DUMMYFUNCTION("IMPORTRANGE(""https://docs.google.com/spreadsheets/d/1MeEWN-I1oV_STSDYn1IFDPWt_1FKiwhDph83XaGc0o0/edit?usp=sharing"",""งบพรบ!FW51"")"),0)</f>
        <v>0</v>
      </c>
      <c r="N410" s="899">
        <f ca="1">IFERROR(__xludf.DUMMYFUNCTION("IMPORTRANGE(""https://docs.google.com/spreadsheets/d/1MeEWN-I1oV_STSDYn1IFDPWt_1FKiwhDph83XaGc0o0/edit?usp=sharing"",""งบพรบ!FY51"")"),0)</f>
        <v>0</v>
      </c>
      <c r="O410" s="899">
        <f t="shared" ca="1" si="175"/>
        <v>0</v>
      </c>
      <c r="P410" s="899">
        <f t="shared" ca="1" si="176"/>
        <v>0</v>
      </c>
      <c r="Q410" s="887"/>
      <c r="R410" s="887"/>
      <c r="S410" s="887"/>
      <c r="T410" s="887"/>
      <c r="U410" s="887"/>
      <c r="V410" s="887"/>
      <c r="W410" s="887"/>
      <c r="X410" s="887"/>
      <c r="Y410" s="887"/>
      <c r="Z410" s="887"/>
    </row>
    <row r="411" spans="1:26" ht="19.5" hidden="1">
      <c r="A411" s="1014"/>
      <c r="B411" s="1015"/>
      <c r="C411" s="1011" t="s">
        <v>16</v>
      </c>
      <c r="D411" s="1276" t="s">
        <v>38</v>
      </c>
      <c r="E411" s="1277"/>
      <c r="F411" s="1277"/>
      <c r="G411" s="1278"/>
      <c r="H411" s="1019"/>
      <c r="I411" s="892"/>
      <c r="J411" s="892"/>
      <c r="K411" s="893"/>
      <c r="L411" s="1010"/>
      <c r="M411" s="1010"/>
      <c r="N411" s="1010"/>
      <c r="O411" s="1010"/>
      <c r="P411" s="1010"/>
    </row>
    <row r="412" spans="1:26" ht="18.75" hidden="1">
      <c r="A412" s="1014"/>
      <c r="B412" s="1022"/>
      <c r="C412" s="1022"/>
      <c r="D412" s="1021" t="s">
        <v>178</v>
      </c>
      <c r="E412" s="1022"/>
      <c r="F412" s="1022"/>
      <c r="G412" s="1023"/>
      <c r="H412" s="536" t="s">
        <v>66</v>
      </c>
      <c r="I412" s="892">
        <v>0</v>
      </c>
      <c r="J412" s="1024">
        <v>0</v>
      </c>
      <c r="K412" s="893">
        <f t="shared" ref="K412:K413" si="180">IF(I412&gt;0,J412*100/I412,0)</f>
        <v>0</v>
      </c>
      <c r="L412" s="1010"/>
      <c r="M412" s="1010"/>
      <c r="N412" s="1010"/>
      <c r="O412" s="1010"/>
      <c r="P412" s="1010"/>
    </row>
    <row r="413" spans="1:26" ht="19.5" hidden="1" thickBot="1">
      <c r="A413" s="1279"/>
      <c r="B413" s="1280"/>
      <c r="C413" s="1280"/>
      <c r="D413" s="1281" t="s">
        <v>179</v>
      </c>
      <c r="E413" s="1280"/>
      <c r="F413" s="1280"/>
      <c r="G413" s="1282"/>
      <c r="H413" s="541" t="s">
        <v>180</v>
      </c>
      <c r="I413" s="1283">
        <v>0</v>
      </c>
      <c r="J413" s="1284">
        <v>0</v>
      </c>
      <c r="K413" s="1285">
        <f t="shared" si="180"/>
        <v>0</v>
      </c>
      <c r="L413" s="1286"/>
      <c r="M413" s="1286"/>
      <c r="N413" s="1286"/>
      <c r="O413" s="1286"/>
      <c r="P413" s="1286"/>
    </row>
    <row r="414" spans="1:26" ht="19.5">
      <c r="A414" s="1287" t="s">
        <v>181</v>
      </c>
      <c r="B414" s="1288"/>
      <c r="C414" s="1288"/>
      <c r="D414" s="1288"/>
      <c r="E414" s="1288"/>
      <c r="F414" s="1288"/>
      <c r="G414" s="1289"/>
      <c r="H414" s="1290"/>
      <c r="I414" s="1291"/>
      <c r="J414" s="1291"/>
      <c r="K414" s="1292"/>
      <c r="L414" s="1293">
        <f t="shared" ref="L414:N414" ca="1" si="181">L419+L444+L467+L502+L523+L544+L629+L655+L685+L737+L754+L770+L786+L805</f>
        <v>3278842</v>
      </c>
      <c r="M414" s="1293">
        <f t="shared" ca="1" si="181"/>
        <v>3278842</v>
      </c>
      <c r="N414" s="1293">
        <f t="shared" si="181"/>
        <v>1715922.56</v>
      </c>
      <c r="O414" s="1293">
        <f ca="1">IF(L414&gt;0,N414*100/L414,0)</f>
        <v>52.333188363452706</v>
      </c>
      <c r="P414" s="1293">
        <f ca="1">IF(M414&gt;0,N414*100/M414,0)</f>
        <v>52.333188363452706</v>
      </c>
    </row>
    <row r="415" spans="1:26" ht="19.5">
      <c r="A415" s="1294" t="s">
        <v>182</v>
      </c>
      <c r="B415" s="1295"/>
      <c r="C415" s="1295"/>
      <c r="D415" s="1295"/>
      <c r="E415" s="1295"/>
      <c r="F415" s="1295"/>
      <c r="G415" s="1295"/>
      <c r="H415" s="1296"/>
      <c r="I415" s="1297"/>
      <c r="J415" s="1297"/>
      <c r="K415" s="1298"/>
      <c r="L415" s="1299"/>
      <c r="M415" s="1299"/>
      <c r="N415" s="1299"/>
      <c r="O415" s="1299"/>
      <c r="P415" s="1299"/>
    </row>
    <row r="416" spans="1:26" ht="19.5">
      <c r="A416" s="1294" t="s">
        <v>183</v>
      </c>
      <c r="B416" s="1295"/>
      <c r="C416" s="1295"/>
      <c r="D416" s="1295"/>
      <c r="E416" s="1295"/>
      <c r="F416" s="1295"/>
      <c r="G416" s="1300"/>
      <c r="H416" s="1301"/>
      <c r="I416" s="1302"/>
      <c r="J416" s="1302"/>
      <c r="K416" s="1299"/>
      <c r="L416" s="1299"/>
      <c r="M416" s="1299"/>
      <c r="N416" s="1299"/>
      <c r="O416" s="1299"/>
      <c r="P416" s="1299"/>
    </row>
    <row r="417" spans="1:26" ht="39">
      <c r="A417" s="562">
        <v>1</v>
      </c>
      <c r="B417" s="1303" t="s">
        <v>184</v>
      </c>
      <c r="C417" s="1303"/>
      <c r="D417" s="1304"/>
      <c r="E417" s="1304"/>
      <c r="F417" s="1304"/>
      <c r="G417" s="1305"/>
      <c r="H417" s="567" t="s">
        <v>35</v>
      </c>
      <c r="I417" s="1306">
        <f t="shared" ref="I417:J418" ca="1" si="182">I433</f>
        <v>35</v>
      </c>
      <c r="J417" s="1306">
        <f t="shared" ca="1" si="182"/>
        <v>35</v>
      </c>
      <c r="K417" s="1307">
        <f t="shared" ref="K417:K418" ca="1" si="183">IF(I417&gt;0,J417*100/I417,0)</f>
        <v>100</v>
      </c>
      <c r="L417" s="1308"/>
      <c r="M417" s="1308"/>
      <c r="N417" s="1308"/>
      <c r="O417" s="1308"/>
      <c r="P417" s="1308"/>
    </row>
    <row r="418" spans="1:26" ht="19.5">
      <c r="A418" s="1309"/>
      <c r="B418" s="562"/>
      <c r="C418" s="1303"/>
      <c r="D418" s="1304"/>
      <c r="E418" s="1304"/>
      <c r="F418" s="1304"/>
      <c r="G418" s="1305"/>
      <c r="H418" s="567" t="s">
        <v>49</v>
      </c>
      <c r="I418" s="1306">
        <f t="shared" ca="1" si="182"/>
        <v>1</v>
      </c>
      <c r="J418" s="1306">
        <f t="shared" si="182"/>
        <v>1</v>
      </c>
      <c r="K418" s="1307">
        <f t="shared" ca="1" si="183"/>
        <v>100</v>
      </c>
      <c r="L418" s="1308"/>
      <c r="M418" s="1308"/>
      <c r="N418" s="1308"/>
      <c r="O418" s="1308"/>
      <c r="P418" s="1308"/>
    </row>
    <row r="419" spans="1:26" ht="19.5">
      <c r="A419" s="997"/>
      <c r="B419" s="998"/>
      <c r="C419" s="998" t="s">
        <v>16</v>
      </c>
      <c r="D419" s="1310" t="s">
        <v>17</v>
      </c>
      <c r="E419" s="858"/>
      <c r="F419" s="858"/>
      <c r="G419" s="1001"/>
      <c r="H419" s="275" t="s">
        <v>12</v>
      </c>
      <c r="I419" s="1002"/>
      <c r="J419" s="1002"/>
      <c r="K419" s="1003"/>
      <c r="L419" s="1004">
        <f t="shared" ref="L419:N419" ca="1" si="184">L420+L421</f>
        <v>115060</v>
      </c>
      <c r="M419" s="1004">
        <f t="shared" ca="1" si="184"/>
        <v>115060</v>
      </c>
      <c r="N419" s="1004">
        <f t="shared" si="184"/>
        <v>115060</v>
      </c>
      <c r="O419" s="1004">
        <f t="shared" ref="O419:O424" ca="1" si="185">IF(L419&gt;0,N419*100/L419,0)</f>
        <v>100</v>
      </c>
      <c r="P419" s="1004">
        <f t="shared" ref="P419:P424" ca="1" si="186">IF(M419&gt;0,N419*100/M419,0)</f>
        <v>100</v>
      </c>
      <c r="Q419" s="880"/>
      <c r="R419" s="880"/>
      <c r="S419" s="880"/>
      <c r="T419" s="880"/>
      <c r="U419" s="880"/>
      <c r="V419" s="880"/>
      <c r="W419" s="880"/>
      <c r="X419" s="880"/>
      <c r="Y419" s="880"/>
      <c r="Z419" s="880"/>
    </row>
    <row r="420" spans="1:26" ht="18.75" hidden="1">
      <c r="A420" s="1005"/>
      <c r="B420" s="895"/>
      <c r="C420" s="895"/>
      <c r="D420" s="1125"/>
      <c r="E420" s="896" t="s">
        <v>185</v>
      </c>
      <c r="F420" s="895"/>
      <c r="G420" s="1006"/>
      <c r="H420" s="165" t="s">
        <v>12</v>
      </c>
      <c r="I420" s="898"/>
      <c r="J420" s="898"/>
      <c r="K420" s="899"/>
      <c r="L420" s="899">
        <f t="shared" ref="L420:N421" si="187">L423+L430</f>
        <v>0</v>
      </c>
      <c r="M420" s="899">
        <f t="shared" si="187"/>
        <v>0</v>
      </c>
      <c r="N420" s="899">
        <f t="shared" si="187"/>
        <v>0</v>
      </c>
      <c r="O420" s="899">
        <f t="shared" si="185"/>
        <v>0</v>
      </c>
      <c r="P420" s="899">
        <f t="shared" si="186"/>
        <v>0</v>
      </c>
      <c r="Q420" s="887"/>
      <c r="R420" s="887"/>
      <c r="S420" s="887"/>
      <c r="T420" s="887"/>
      <c r="U420" s="887"/>
      <c r="V420" s="887"/>
      <c r="W420" s="887"/>
      <c r="X420" s="887"/>
      <c r="Y420" s="887"/>
      <c r="Z420" s="887"/>
    </row>
    <row r="421" spans="1:26" ht="18.75" hidden="1">
      <c r="A421" s="1005"/>
      <c r="B421" s="895"/>
      <c r="C421" s="895"/>
      <c r="D421" s="1125"/>
      <c r="E421" s="896" t="s">
        <v>186</v>
      </c>
      <c r="F421" s="895"/>
      <c r="G421" s="1006"/>
      <c r="H421" s="165" t="s">
        <v>12</v>
      </c>
      <c r="I421" s="898"/>
      <c r="J421" s="898"/>
      <c r="K421" s="899"/>
      <c r="L421" s="899">
        <f t="shared" ca="1" si="187"/>
        <v>115060</v>
      </c>
      <c r="M421" s="899">
        <f t="shared" ca="1" si="187"/>
        <v>115060</v>
      </c>
      <c r="N421" s="899">
        <f t="shared" si="187"/>
        <v>115060</v>
      </c>
      <c r="O421" s="899">
        <f t="shared" ca="1" si="185"/>
        <v>100</v>
      </c>
      <c r="P421" s="899">
        <f t="shared" ca="1" si="186"/>
        <v>100</v>
      </c>
      <c r="Q421" s="887"/>
      <c r="R421" s="887"/>
      <c r="S421" s="887"/>
      <c r="T421" s="887"/>
      <c r="U421" s="887"/>
      <c r="V421" s="887"/>
      <c r="W421" s="887"/>
      <c r="X421" s="887"/>
      <c r="Y421" s="887"/>
      <c r="Z421" s="887"/>
    </row>
    <row r="422" spans="1:26" ht="18.75">
      <c r="A422" s="1007"/>
      <c r="B422" s="1095"/>
      <c r="C422" s="889"/>
      <c r="D422" s="890" t="s">
        <v>20</v>
      </c>
      <c r="E422" s="889"/>
      <c r="F422" s="889"/>
      <c r="G422" s="891"/>
      <c r="H422" s="161" t="s">
        <v>12</v>
      </c>
      <c r="I422" s="1009"/>
      <c r="J422" s="1009"/>
      <c r="K422" s="1010"/>
      <c r="L422" s="893">
        <f t="shared" ref="L422:N422" ca="1" si="188">L423+L424</f>
        <v>115060</v>
      </c>
      <c r="M422" s="893">
        <f t="shared" ca="1" si="188"/>
        <v>115060</v>
      </c>
      <c r="N422" s="893">
        <f t="shared" si="188"/>
        <v>115060</v>
      </c>
      <c r="O422" s="893">
        <f t="shared" ca="1" si="185"/>
        <v>100</v>
      </c>
      <c r="P422" s="893">
        <f t="shared" ca="1" si="186"/>
        <v>100</v>
      </c>
      <c r="Q422" s="880"/>
      <c r="R422" s="880"/>
      <c r="S422" s="880"/>
      <c r="T422" s="880"/>
      <c r="U422" s="880"/>
      <c r="V422" s="880"/>
      <c r="W422" s="880"/>
      <c r="X422" s="880"/>
      <c r="Y422" s="880"/>
      <c r="Z422" s="880"/>
    </row>
    <row r="423" spans="1:26" ht="18.75" hidden="1">
      <c r="A423" s="1005"/>
      <c r="B423" s="895"/>
      <c r="C423" s="895"/>
      <c r="D423" s="1125"/>
      <c r="E423" s="896" t="s">
        <v>185</v>
      </c>
      <c r="F423" s="895"/>
      <c r="G423" s="1006"/>
      <c r="H423" s="165" t="s">
        <v>12</v>
      </c>
      <c r="I423" s="898"/>
      <c r="J423" s="898"/>
      <c r="K423" s="899"/>
      <c r="L423" s="899">
        <v>0</v>
      </c>
      <c r="M423" s="899">
        <v>0</v>
      </c>
      <c r="N423" s="899">
        <v>0</v>
      </c>
      <c r="O423" s="899">
        <f t="shared" si="185"/>
        <v>0</v>
      </c>
      <c r="P423" s="899">
        <f t="shared" si="186"/>
        <v>0</v>
      </c>
      <c r="Q423" s="887"/>
      <c r="R423" s="887"/>
      <c r="S423" s="887"/>
      <c r="T423" s="887"/>
      <c r="U423" s="887"/>
      <c r="V423" s="887"/>
      <c r="W423" s="887"/>
      <c r="X423" s="887"/>
      <c r="Y423" s="887"/>
      <c r="Z423" s="887"/>
    </row>
    <row r="424" spans="1:26" ht="18.75" hidden="1">
      <c r="A424" s="1005"/>
      <c r="B424" s="895"/>
      <c r="C424" s="895"/>
      <c r="D424" s="1125"/>
      <c r="E424" s="896" t="s">
        <v>186</v>
      </c>
      <c r="F424" s="895"/>
      <c r="G424" s="1006"/>
      <c r="H424" s="165" t="s">
        <v>12</v>
      </c>
      <c r="I424" s="898"/>
      <c r="J424" s="898"/>
      <c r="K424" s="899"/>
      <c r="L424" s="899">
        <f ca="1">IFERROR(__xludf.DUMMYFUNCTION("IMPORTRANGE(""https://docs.google.com/spreadsheets/d/1QqKyyYR6Q21VydFLVH3TRQUabQu_ym0Zz7PgGX0-kHA/edit?usp=sharing"",""แผน!EY51"")"),115060)</f>
        <v>115060</v>
      </c>
      <c r="M424" s="899">
        <f ca="1">L424</f>
        <v>115060</v>
      </c>
      <c r="N424" s="899">
        <f>N425+N426+N427+N428</f>
        <v>115060</v>
      </c>
      <c r="O424" s="899">
        <f t="shared" ca="1" si="185"/>
        <v>100</v>
      </c>
      <c r="P424" s="899">
        <f t="shared" ca="1" si="186"/>
        <v>100</v>
      </c>
      <c r="Q424" s="887"/>
      <c r="R424" s="887"/>
      <c r="S424" s="887"/>
      <c r="T424" s="887"/>
      <c r="U424" s="887"/>
      <c r="V424" s="887"/>
      <c r="W424" s="887"/>
      <c r="X424" s="887"/>
      <c r="Y424" s="887"/>
      <c r="Z424" s="887"/>
    </row>
    <row r="425" spans="1:26" ht="18.75">
      <c r="A425" s="1311"/>
      <c r="B425" s="1312"/>
      <c r="C425" s="1313"/>
      <c r="D425" s="1313"/>
      <c r="E425" s="1313"/>
      <c r="F425" s="1313" t="s">
        <v>187</v>
      </c>
      <c r="G425" s="1028"/>
      <c r="H425" s="161" t="s">
        <v>12</v>
      </c>
      <c r="I425" s="892"/>
      <c r="J425" s="892"/>
      <c r="K425" s="893"/>
      <c r="L425" s="893"/>
      <c r="M425" s="893"/>
      <c r="N425" s="1096">
        <v>83370</v>
      </c>
      <c r="O425" s="893"/>
      <c r="P425" s="893"/>
      <c r="Q425" s="1314"/>
      <c r="R425" s="1314"/>
      <c r="S425" s="1314"/>
      <c r="T425" s="1314"/>
      <c r="U425" s="1314"/>
      <c r="V425" s="1314"/>
      <c r="W425" s="1314"/>
      <c r="X425" s="1314"/>
      <c r="Y425" s="1314"/>
      <c r="Z425" s="1314"/>
    </row>
    <row r="426" spans="1:26" ht="18.75">
      <c r="A426" s="1311"/>
      <c r="B426" s="1312"/>
      <c r="C426" s="1313"/>
      <c r="D426" s="1313"/>
      <c r="E426" s="1313"/>
      <c r="F426" s="1313" t="s">
        <v>188</v>
      </c>
      <c r="G426" s="1028"/>
      <c r="H426" s="161" t="s">
        <v>12</v>
      </c>
      <c r="I426" s="892"/>
      <c r="J426" s="892"/>
      <c r="K426" s="893"/>
      <c r="L426" s="893"/>
      <c r="M426" s="893"/>
      <c r="N426" s="1096">
        <v>0</v>
      </c>
      <c r="O426" s="893"/>
      <c r="P426" s="893"/>
      <c r="Q426" s="1314"/>
      <c r="R426" s="1314"/>
      <c r="S426" s="1314"/>
      <c r="T426" s="1314"/>
      <c r="U426" s="1314"/>
      <c r="V426" s="1314"/>
      <c r="W426" s="1314"/>
      <c r="X426" s="1314"/>
      <c r="Y426" s="1314"/>
      <c r="Z426" s="1314"/>
    </row>
    <row r="427" spans="1:26" ht="18.75">
      <c r="A427" s="1311"/>
      <c r="B427" s="1312"/>
      <c r="C427" s="1313"/>
      <c r="D427" s="1313"/>
      <c r="E427" s="1313"/>
      <c r="F427" s="1313" t="s">
        <v>189</v>
      </c>
      <c r="G427" s="1028"/>
      <c r="H427" s="161" t="s">
        <v>12</v>
      </c>
      <c r="I427" s="892"/>
      <c r="J427" s="892"/>
      <c r="K427" s="893"/>
      <c r="L427" s="893"/>
      <c r="M427" s="893"/>
      <c r="N427" s="1096">
        <v>0</v>
      </c>
      <c r="O427" s="893"/>
      <c r="P427" s="893"/>
      <c r="Q427" s="1314"/>
      <c r="R427" s="1314"/>
      <c r="S427" s="1314"/>
      <c r="T427" s="1314"/>
      <c r="U427" s="1314"/>
      <c r="V427" s="1314"/>
      <c r="W427" s="1314"/>
      <c r="X427" s="1314"/>
      <c r="Y427" s="1314"/>
      <c r="Z427" s="1314"/>
    </row>
    <row r="428" spans="1:26" ht="18.75">
      <c r="A428" s="1097"/>
      <c r="B428" s="1095"/>
      <c r="C428" s="889"/>
      <c r="D428" s="889"/>
      <c r="E428" s="889"/>
      <c r="F428" s="1008" t="s">
        <v>190</v>
      </c>
      <c r="G428" s="1042"/>
      <c r="H428" s="161" t="s">
        <v>12</v>
      </c>
      <c r="I428" s="892"/>
      <c r="J428" s="892"/>
      <c r="K428" s="893"/>
      <c r="L428" s="893"/>
      <c r="M428" s="893"/>
      <c r="N428" s="1096">
        <f>5760+1430+3000+18000+3500</f>
        <v>31690</v>
      </c>
      <c r="O428" s="893"/>
      <c r="P428" s="893"/>
      <c r="Q428" s="880"/>
      <c r="R428" s="880"/>
      <c r="S428" s="880"/>
      <c r="T428" s="880"/>
      <c r="U428" s="880"/>
      <c r="V428" s="880"/>
      <c r="W428" s="880"/>
      <c r="X428" s="880"/>
      <c r="Y428" s="880"/>
      <c r="Z428" s="880"/>
    </row>
    <row r="429" spans="1:26" ht="18.75">
      <c r="A429" s="1007"/>
      <c r="B429" s="1095"/>
      <c r="C429" s="889"/>
      <c r="D429" s="890" t="s">
        <v>21</v>
      </c>
      <c r="E429" s="889"/>
      <c r="F429" s="889"/>
      <c r="G429" s="891"/>
      <c r="H429" s="168" t="s">
        <v>12</v>
      </c>
      <c r="I429" s="1009"/>
      <c r="J429" s="1009"/>
      <c r="K429" s="1010"/>
      <c r="L429" s="893">
        <f t="shared" ref="L429:N429" ca="1" si="189">L430+L431</f>
        <v>0</v>
      </c>
      <c r="M429" s="893">
        <f t="shared" si="189"/>
        <v>0</v>
      </c>
      <c r="N429" s="893">
        <f t="shared" si="189"/>
        <v>0</v>
      </c>
      <c r="O429" s="893">
        <f t="shared" ref="O429:O431" ca="1" si="190">IF(L429&gt;0,N429*100/L429,0)</f>
        <v>0</v>
      </c>
      <c r="P429" s="893">
        <f t="shared" ref="P429:P431" si="191">IF(M429&gt;0,N429*100/M429,0)</f>
        <v>0</v>
      </c>
      <c r="Q429" s="880"/>
      <c r="R429" s="880"/>
      <c r="S429" s="880"/>
      <c r="T429" s="880"/>
      <c r="U429" s="880"/>
      <c r="V429" s="880"/>
      <c r="W429" s="880"/>
      <c r="X429" s="880"/>
      <c r="Y429" s="880"/>
      <c r="Z429" s="880"/>
    </row>
    <row r="430" spans="1:26" ht="18.75" hidden="1">
      <c r="A430" s="1005"/>
      <c r="B430" s="1116"/>
      <c r="C430" s="895"/>
      <c r="D430" s="895"/>
      <c r="E430" s="896" t="s">
        <v>18</v>
      </c>
      <c r="F430" s="895"/>
      <c r="G430" s="897"/>
      <c r="H430" s="165" t="s">
        <v>12</v>
      </c>
      <c r="I430" s="1012"/>
      <c r="J430" s="1012"/>
      <c r="K430" s="1013"/>
      <c r="L430" s="899">
        <v>0</v>
      </c>
      <c r="M430" s="899">
        <v>0</v>
      </c>
      <c r="N430" s="899">
        <v>0</v>
      </c>
      <c r="O430" s="899">
        <f t="shared" si="190"/>
        <v>0</v>
      </c>
      <c r="P430" s="899">
        <f t="shared" si="191"/>
        <v>0</v>
      </c>
      <c r="Q430" s="887"/>
      <c r="R430" s="887"/>
      <c r="S430" s="887"/>
      <c r="T430" s="887"/>
      <c r="U430" s="887"/>
      <c r="V430" s="887"/>
      <c r="W430" s="887"/>
      <c r="X430" s="887"/>
      <c r="Y430" s="887"/>
      <c r="Z430" s="887"/>
    </row>
    <row r="431" spans="1:26" ht="18.75" hidden="1">
      <c r="A431" s="1005"/>
      <c r="B431" s="1116"/>
      <c r="C431" s="895"/>
      <c r="D431" s="895"/>
      <c r="E431" s="896" t="s">
        <v>19</v>
      </c>
      <c r="F431" s="895"/>
      <c r="G431" s="897"/>
      <c r="H431" s="169" t="s">
        <v>12</v>
      </c>
      <c r="I431" s="1012"/>
      <c r="J431" s="1012"/>
      <c r="K431" s="1013"/>
      <c r="L431" s="899">
        <f ca="1">IFERROR(__xludf.DUMMYFUNCTION("IMPORTRANGE(""https://docs.google.com/spreadsheets/d/1QqKyyYR6Q21VydFLVH3TRQUabQu_ym0Zz7PgGX0-kHA/edit?usp=sharing"",""แผน!FB51"")"),0)</f>
        <v>0</v>
      </c>
      <c r="M431" s="899">
        <v>0</v>
      </c>
      <c r="N431" s="899">
        <v>0</v>
      </c>
      <c r="O431" s="899">
        <f t="shared" ca="1" si="190"/>
        <v>0</v>
      </c>
      <c r="P431" s="899">
        <f t="shared" si="191"/>
        <v>0</v>
      </c>
      <c r="Q431" s="887"/>
      <c r="R431" s="887"/>
      <c r="S431" s="887"/>
      <c r="T431" s="887"/>
      <c r="U431" s="887"/>
      <c r="V431" s="887"/>
      <c r="W431" s="887"/>
      <c r="X431" s="887"/>
      <c r="Y431" s="887"/>
      <c r="Z431" s="887"/>
    </row>
    <row r="432" spans="1:26" ht="19.5">
      <c r="A432" s="1177"/>
      <c r="B432" s="1178"/>
      <c r="C432" s="998" t="s">
        <v>16</v>
      </c>
      <c r="D432" s="1315" t="s">
        <v>38</v>
      </c>
      <c r="E432" s="1316"/>
      <c r="F432" s="1316"/>
      <c r="G432" s="1317"/>
      <c r="H432" s="1318"/>
      <c r="I432" s="1002"/>
      <c r="J432" s="1002"/>
      <c r="K432" s="1003"/>
      <c r="L432" s="1003"/>
      <c r="M432" s="1003"/>
      <c r="N432" s="1003"/>
      <c r="O432" s="1003"/>
      <c r="P432" s="1003"/>
      <c r="Q432" s="880"/>
      <c r="R432" s="880"/>
      <c r="S432" s="880"/>
      <c r="T432" s="880"/>
      <c r="U432" s="880"/>
      <c r="V432" s="880"/>
      <c r="W432" s="880"/>
      <c r="X432" s="880"/>
      <c r="Y432" s="880"/>
      <c r="Z432" s="880"/>
    </row>
    <row r="433" spans="1:26" ht="19.5">
      <c r="A433" s="1014"/>
      <c r="B433" s="1015"/>
      <c r="C433" s="1015"/>
      <c r="D433" s="1025" t="s">
        <v>191</v>
      </c>
      <c r="E433" s="1022"/>
      <c r="F433" s="1022"/>
      <c r="G433" s="1023"/>
      <c r="H433" s="196" t="s">
        <v>35</v>
      </c>
      <c r="I433" s="1031">
        <f ca="1">I435</f>
        <v>35</v>
      </c>
      <c r="J433" s="1031">
        <f ca="1">IF(AND(J435=I435,J437=I437,J439=I439),I437+I439,IF(AND(J435=I437,J437=I437),I437,IF(AND(J435=I439,J439=I439),I439,0)))</f>
        <v>35</v>
      </c>
      <c r="K433" s="1032">
        <f t="shared" ref="K433:K435" ca="1" si="192">IF(I433&gt;0,J433*100/I433,0)</f>
        <v>100</v>
      </c>
      <c r="L433" s="893"/>
      <c r="M433" s="893"/>
      <c r="N433" s="893"/>
      <c r="O433" s="893"/>
      <c r="P433" s="893"/>
      <c r="Q433" s="880"/>
      <c r="R433" s="880"/>
      <c r="S433" s="880"/>
      <c r="T433" s="880"/>
      <c r="U433" s="880"/>
      <c r="V433" s="880"/>
      <c r="W433" s="880"/>
      <c r="X433" s="880"/>
      <c r="Y433" s="880"/>
      <c r="Z433" s="880"/>
    </row>
    <row r="434" spans="1:26" ht="19.5">
      <c r="A434" s="1014"/>
      <c r="B434" s="1015"/>
      <c r="C434" s="1015"/>
      <c r="D434" s="1025" t="s">
        <v>192</v>
      </c>
      <c r="E434" s="1022"/>
      <c r="F434" s="1022"/>
      <c r="G434" s="1023"/>
      <c r="H434" s="196" t="s">
        <v>49</v>
      </c>
      <c r="I434" s="1031">
        <f t="shared" ref="I434:J434" ca="1" si="193">I438+I440</f>
        <v>1</v>
      </c>
      <c r="J434" s="1031">
        <f t="shared" si="193"/>
        <v>1</v>
      </c>
      <c r="K434" s="1032">
        <f t="shared" ca="1" si="192"/>
        <v>100</v>
      </c>
      <c r="L434" s="893"/>
      <c r="M434" s="893"/>
      <c r="N434" s="893"/>
      <c r="O434" s="893"/>
      <c r="P434" s="893"/>
      <c r="Q434" s="880"/>
      <c r="R434" s="880"/>
      <c r="S434" s="880"/>
      <c r="T434" s="880"/>
      <c r="U434" s="880"/>
      <c r="V434" s="880"/>
      <c r="W434" s="880"/>
      <c r="X434" s="880"/>
      <c r="Y434" s="880"/>
      <c r="Z434" s="880"/>
    </row>
    <row r="435" spans="1:26" ht="18.75">
      <c r="A435" s="1014"/>
      <c r="B435" s="1015"/>
      <c r="C435" s="1015"/>
      <c r="D435" s="1021" t="s">
        <v>193</v>
      </c>
      <c r="E435" s="1022"/>
      <c r="F435" s="1022"/>
      <c r="G435" s="1023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893">
        <f t="shared" ca="1" si="192"/>
        <v>100</v>
      </c>
      <c r="L435" s="893"/>
      <c r="M435" s="893"/>
      <c r="N435" s="893"/>
      <c r="O435" s="893"/>
      <c r="P435" s="893"/>
      <c r="Q435" s="880"/>
      <c r="R435" s="880"/>
      <c r="S435" s="880"/>
      <c r="T435" s="880"/>
      <c r="U435" s="880"/>
      <c r="V435" s="880"/>
      <c r="W435" s="880"/>
      <c r="X435" s="880"/>
      <c r="Y435" s="880"/>
      <c r="Z435" s="880"/>
    </row>
    <row r="436" spans="1:26" ht="18.75">
      <c r="A436" s="1014"/>
      <c r="B436" s="1015"/>
      <c r="C436" s="1015"/>
      <c r="D436" s="1021" t="s">
        <v>194</v>
      </c>
      <c r="E436" s="1022"/>
      <c r="F436" s="1022"/>
      <c r="G436" s="1023"/>
      <c r="H436" s="621"/>
      <c r="I436" s="892"/>
      <c r="J436" s="892"/>
      <c r="K436" s="893"/>
      <c r="L436" s="893"/>
      <c r="M436" s="893"/>
      <c r="N436" s="893"/>
      <c r="O436" s="893"/>
      <c r="P436" s="893"/>
      <c r="Q436" s="880"/>
      <c r="R436" s="880"/>
      <c r="S436" s="880"/>
      <c r="T436" s="880"/>
      <c r="U436" s="880"/>
      <c r="V436" s="880"/>
      <c r="W436" s="880"/>
      <c r="X436" s="880"/>
      <c r="Y436" s="880"/>
      <c r="Z436" s="880"/>
    </row>
    <row r="437" spans="1:26" ht="18.75">
      <c r="A437" s="1014"/>
      <c r="B437" s="1015"/>
      <c r="C437" s="1015"/>
      <c r="D437" s="1021" t="s">
        <v>195</v>
      </c>
      <c r="E437" s="1022"/>
      <c r="F437" s="1022"/>
      <c r="G437" s="1023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893">
        <f t="shared" ref="K437:K443" ca="1" si="194">IF(I437&gt;0,J437*100/I437,0)</f>
        <v>0</v>
      </c>
      <c r="L437" s="893"/>
      <c r="M437" s="893"/>
      <c r="N437" s="893"/>
      <c r="O437" s="893"/>
      <c r="P437" s="893"/>
      <c r="Q437" s="880"/>
      <c r="R437" s="880"/>
      <c r="S437" s="880"/>
      <c r="T437" s="880"/>
      <c r="U437" s="880"/>
      <c r="V437" s="880"/>
      <c r="W437" s="880"/>
      <c r="X437" s="880"/>
      <c r="Y437" s="880"/>
      <c r="Z437" s="880"/>
    </row>
    <row r="438" spans="1:26" ht="18.75">
      <c r="A438" s="1014"/>
      <c r="B438" s="1015"/>
      <c r="C438" s="1015"/>
      <c r="D438" s="1021" t="s">
        <v>196</v>
      </c>
      <c r="E438" s="1022"/>
      <c r="F438" s="1022"/>
      <c r="G438" s="1023"/>
      <c r="H438" s="621" t="s">
        <v>49</v>
      </c>
      <c r="I438" s="892">
        <f ca="1">IFERROR(__xludf.DUMMYFUNCTION("IMPORTRANGE(""https://docs.google.com/spreadsheets/d/1QqKyyYR6Q21VydFLVH3TRQUabQu_ym0Zz7PgGX0-kHA/edit?usp=sharing"",""แผน!FE51"")"),0)</f>
        <v>0</v>
      </c>
      <c r="J438" s="1024">
        <v>0</v>
      </c>
      <c r="K438" s="893">
        <f t="shared" ca="1" si="194"/>
        <v>0</v>
      </c>
      <c r="L438" s="893"/>
      <c r="M438" s="893"/>
      <c r="N438" s="893"/>
      <c r="O438" s="893"/>
      <c r="P438" s="893"/>
      <c r="Q438" s="880"/>
      <c r="R438" s="880"/>
      <c r="S438" s="880"/>
      <c r="T438" s="880"/>
      <c r="U438" s="880"/>
      <c r="V438" s="880"/>
      <c r="W438" s="880"/>
      <c r="X438" s="880"/>
      <c r="Y438" s="880"/>
      <c r="Z438" s="880"/>
    </row>
    <row r="439" spans="1:26" ht="18.75">
      <c r="A439" s="1014"/>
      <c r="B439" s="1015"/>
      <c r="C439" s="1015"/>
      <c r="D439" s="1021" t="s">
        <v>197</v>
      </c>
      <c r="E439" s="1022"/>
      <c r="F439" s="1022"/>
      <c r="G439" s="1023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893">
        <f t="shared" ca="1" si="194"/>
        <v>100</v>
      </c>
      <c r="L439" s="893"/>
      <c r="M439" s="893"/>
      <c r="N439" s="893"/>
      <c r="O439" s="893"/>
      <c r="P439" s="893"/>
      <c r="Q439" s="880"/>
      <c r="R439" s="880"/>
      <c r="S439" s="880"/>
      <c r="T439" s="880"/>
      <c r="U439" s="880"/>
      <c r="V439" s="880"/>
      <c r="W439" s="880"/>
      <c r="X439" s="880"/>
      <c r="Y439" s="880"/>
      <c r="Z439" s="880"/>
    </row>
    <row r="440" spans="1:26" ht="18.75">
      <c r="A440" s="1014"/>
      <c r="B440" s="1015"/>
      <c r="C440" s="1015"/>
      <c r="D440" s="1021" t="s">
        <v>198</v>
      </c>
      <c r="E440" s="1022"/>
      <c r="F440" s="1022"/>
      <c r="G440" s="1023"/>
      <c r="H440" s="621" t="s">
        <v>49</v>
      </c>
      <c r="I440" s="892">
        <f ca="1">IFERROR(__xludf.DUMMYFUNCTION("IMPORTRANGE(""https://docs.google.com/spreadsheets/d/1QqKyyYR6Q21VydFLVH3TRQUabQu_ym0Zz7PgGX0-kHA/edit?usp=sharing"",""แผน!FG51"")"),1)</f>
        <v>1</v>
      </c>
      <c r="J440" s="1024">
        <v>1</v>
      </c>
      <c r="K440" s="893">
        <f t="shared" ca="1" si="194"/>
        <v>100</v>
      </c>
      <c r="L440" s="893"/>
      <c r="M440" s="893"/>
      <c r="N440" s="893"/>
      <c r="O440" s="893"/>
      <c r="P440" s="893"/>
      <c r="Q440" s="880"/>
      <c r="R440" s="880"/>
      <c r="S440" s="880"/>
      <c r="T440" s="880"/>
      <c r="U440" s="880"/>
      <c r="V440" s="880"/>
      <c r="W440" s="880"/>
      <c r="X440" s="880"/>
      <c r="Y440" s="880"/>
      <c r="Z440" s="880"/>
    </row>
    <row r="441" spans="1:26" ht="18.75">
      <c r="A441" s="1014"/>
      <c r="B441" s="1015"/>
      <c r="C441" s="1015"/>
      <c r="D441" s="1021" t="s">
        <v>199</v>
      </c>
      <c r="E441" s="1022"/>
      <c r="F441" s="1022"/>
      <c r="G441" s="1023"/>
      <c r="H441" s="621" t="s">
        <v>35</v>
      </c>
      <c r="I441" s="892">
        <f ca="1">IFERROR(__xludf.DUMMYFUNCTION("IMPORTRANGE(""https://docs.google.com/spreadsheets/d/1QqKyyYR6Q21VydFLVH3TRQUabQu_ym0Zz7PgGX0-kHA/edit?usp=sharing"",""แผน!FH51"")"),0)</f>
        <v>0</v>
      </c>
      <c r="J441" s="892">
        <v>0</v>
      </c>
      <c r="K441" s="893">
        <f t="shared" ca="1" si="194"/>
        <v>0</v>
      </c>
      <c r="L441" s="893"/>
      <c r="M441" s="893"/>
      <c r="N441" s="893"/>
      <c r="O441" s="893"/>
      <c r="P441" s="893"/>
      <c r="Q441" s="880"/>
      <c r="R441" s="880"/>
      <c r="S441" s="880"/>
      <c r="T441" s="880"/>
      <c r="U441" s="880"/>
      <c r="V441" s="880"/>
      <c r="W441" s="880"/>
      <c r="X441" s="880"/>
      <c r="Y441" s="880"/>
      <c r="Z441" s="880"/>
    </row>
    <row r="442" spans="1:26" ht="19.5">
      <c r="A442" s="583">
        <v>2</v>
      </c>
      <c r="B442" s="1319" t="s">
        <v>200</v>
      </c>
      <c r="C442" s="1320"/>
      <c r="D442" s="1320"/>
      <c r="E442" s="1320"/>
      <c r="F442" s="1320"/>
      <c r="G442" s="1321"/>
      <c r="H442" s="587" t="s">
        <v>35</v>
      </c>
      <c r="I442" s="1322">
        <f t="shared" ref="I442:J442" ca="1" si="195">I460</f>
        <v>90</v>
      </c>
      <c r="J442" s="1322">
        <f t="shared" si="195"/>
        <v>90</v>
      </c>
      <c r="K442" s="1323">
        <f t="shared" ca="1" si="194"/>
        <v>100</v>
      </c>
      <c r="L442" s="1324"/>
      <c r="M442" s="1324"/>
      <c r="N442" s="1324"/>
      <c r="O442" s="1324"/>
      <c r="P442" s="1324"/>
      <c r="Q442" s="1314"/>
      <c r="R442" s="1314"/>
      <c r="S442" s="1314"/>
      <c r="T442" s="1314"/>
      <c r="U442" s="1314"/>
      <c r="V442" s="1314"/>
      <c r="W442" s="1314"/>
      <c r="X442" s="1314"/>
      <c r="Y442" s="1314"/>
      <c r="Z442" s="1314"/>
    </row>
    <row r="443" spans="1:26" ht="19.5">
      <c r="A443" s="1325"/>
      <c r="B443" s="1326"/>
      <c r="C443" s="1327"/>
      <c r="D443" s="1327"/>
      <c r="E443" s="1327"/>
      <c r="F443" s="1327"/>
      <c r="G443" s="1328"/>
      <c r="H443" s="567" t="s">
        <v>46</v>
      </c>
      <c r="I443" s="1306">
        <f t="shared" ref="I443:J443" ca="1" si="196">I462</f>
        <v>300</v>
      </c>
      <c r="J443" s="1306">
        <f t="shared" si="196"/>
        <v>300</v>
      </c>
      <c r="K443" s="1307">
        <f t="shared" ca="1" si="194"/>
        <v>100</v>
      </c>
      <c r="L443" s="1308"/>
      <c r="M443" s="1308"/>
      <c r="N443" s="1308"/>
      <c r="O443" s="1308"/>
      <c r="P443" s="1308"/>
      <c r="Q443" s="1314"/>
      <c r="R443" s="1314"/>
      <c r="S443" s="1314"/>
      <c r="T443" s="1314"/>
      <c r="U443" s="1314"/>
      <c r="V443" s="1314"/>
      <c r="W443" s="1314"/>
      <c r="X443" s="1314"/>
      <c r="Y443" s="1314"/>
      <c r="Z443" s="1314"/>
    </row>
    <row r="444" spans="1:26" ht="19.5">
      <c r="A444" s="1329"/>
      <c r="B444" s="1313"/>
      <c r="C444" s="1313" t="s">
        <v>16</v>
      </c>
      <c r="D444" s="1330" t="s">
        <v>17</v>
      </c>
      <c r="E444" s="853"/>
      <c r="F444" s="853"/>
      <c r="G444" s="1028"/>
      <c r="H444" s="596" t="s">
        <v>12</v>
      </c>
      <c r="I444" s="892"/>
      <c r="J444" s="892"/>
      <c r="K444" s="893"/>
      <c r="L444" s="1032">
        <f t="shared" ref="L444:N444" ca="1" si="197">L445+L446</f>
        <v>604000</v>
      </c>
      <c r="M444" s="1032">
        <f t="shared" ca="1" si="197"/>
        <v>604000</v>
      </c>
      <c r="N444" s="1032">
        <f t="shared" si="197"/>
        <v>524701</v>
      </c>
      <c r="O444" s="1032">
        <f t="shared" ref="O444:O449" ca="1" si="198">IF(L444&gt;0,N444*100/L444,0)</f>
        <v>86.871026490066228</v>
      </c>
      <c r="P444" s="1032">
        <f t="shared" ref="P444:P449" ca="1" si="199">IF(M444&gt;0,N444*100/M444,0)</f>
        <v>86.871026490066228</v>
      </c>
      <c r="Q444" s="1314"/>
      <c r="R444" s="1314"/>
      <c r="S444" s="1314"/>
      <c r="T444" s="1314"/>
      <c r="U444" s="1314"/>
      <c r="V444" s="1314"/>
      <c r="W444" s="1314"/>
      <c r="X444" s="1314"/>
      <c r="Y444" s="1314"/>
      <c r="Z444" s="1314"/>
    </row>
    <row r="445" spans="1:26" ht="18.75" hidden="1">
      <c r="A445" s="1331"/>
      <c r="B445" s="1332"/>
      <c r="C445" s="1332"/>
      <c r="D445" s="1333"/>
      <c r="E445" s="1332" t="s">
        <v>185</v>
      </c>
      <c r="F445" s="1332"/>
      <c r="G445" s="1334"/>
      <c r="H445" s="165" t="s">
        <v>12</v>
      </c>
      <c r="I445" s="898"/>
      <c r="J445" s="898"/>
      <c r="K445" s="899"/>
      <c r="L445" s="899">
        <f t="shared" ref="L445:N446" si="200">L448+L455</f>
        <v>0</v>
      </c>
      <c r="M445" s="899">
        <f t="shared" si="200"/>
        <v>0</v>
      </c>
      <c r="N445" s="899">
        <f t="shared" si="200"/>
        <v>0</v>
      </c>
      <c r="O445" s="899">
        <f t="shared" si="198"/>
        <v>0</v>
      </c>
      <c r="P445" s="899">
        <f t="shared" si="199"/>
        <v>0</v>
      </c>
      <c r="Q445" s="1335"/>
      <c r="R445" s="1335"/>
      <c r="S445" s="1335"/>
      <c r="T445" s="1335"/>
      <c r="U445" s="1335"/>
      <c r="V445" s="1335"/>
      <c r="W445" s="1335"/>
      <c r="X445" s="1335"/>
      <c r="Y445" s="1335"/>
      <c r="Z445" s="1335"/>
    </row>
    <row r="446" spans="1:26" ht="18.75" hidden="1">
      <c r="A446" s="1331"/>
      <c r="B446" s="1336"/>
      <c r="C446" s="1332"/>
      <c r="D446" s="1333"/>
      <c r="E446" s="1332" t="s">
        <v>186</v>
      </c>
      <c r="F446" s="1332"/>
      <c r="G446" s="1334"/>
      <c r="H446" s="165" t="s">
        <v>12</v>
      </c>
      <c r="I446" s="898"/>
      <c r="J446" s="898"/>
      <c r="K446" s="899"/>
      <c r="L446" s="899">
        <f t="shared" ca="1" si="200"/>
        <v>604000</v>
      </c>
      <c r="M446" s="899">
        <f t="shared" ca="1" si="200"/>
        <v>604000</v>
      </c>
      <c r="N446" s="899">
        <f t="shared" si="200"/>
        <v>524701</v>
      </c>
      <c r="O446" s="899">
        <f t="shared" ca="1" si="198"/>
        <v>86.871026490066228</v>
      </c>
      <c r="P446" s="899">
        <f t="shared" ca="1" si="199"/>
        <v>86.871026490066228</v>
      </c>
      <c r="Q446" s="1335"/>
      <c r="R446" s="1335"/>
      <c r="S446" s="1335"/>
      <c r="T446" s="1335"/>
      <c r="U446" s="1335"/>
      <c r="V446" s="1335"/>
      <c r="W446" s="1335"/>
      <c r="X446" s="1335"/>
      <c r="Y446" s="1335"/>
      <c r="Z446" s="1335"/>
    </row>
    <row r="447" spans="1:26" ht="18.75">
      <c r="A447" s="1329"/>
      <c r="B447" s="1312"/>
      <c r="C447" s="1313"/>
      <c r="D447" s="1337" t="s">
        <v>20</v>
      </c>
      <c r="E447" s="1313"/>
      <c r="F447" s="1313"/>
      <c r="G447" s="1028"/>
      <c r="H447" s="161" t="s">
        <v>12</v>
      </c>
      <c r="I447" s="1009"/>
      <c r="J447" s="1009"/>
      <c r="K447" s="1010"/>
      <c r="L447" s="893">
        <f t="shared" ref="L447:N447" ca="1" si="201">L448+L449</f>
        <v>604000</v>
      </c>
      <c r="M447" s="893">
        <f t="shared" ca="1" si="201"/>
        <v>604000</v>
      </c>
      <c r="N447" s="893">
        <f t="shared" si="201"/>
        <v>524701</v>
      </c>
      <c r="O447" s="893">
        <f t="shared" ca="1" si="198"/>
        <v>86.871026490066228</v>
      </c>
      <c r="P447" s="893">
        <f t="shared" ca="1" si="199"/>
        <v>86.871026490066228</v>
      </c>
      <c r="Q447" s="1314"/>
      <c r="R447" s="1314"/>
      <c r="S447" s="1314"/>
      <c r="T447" s="1314"/>
      <c r="U447" s="1314"/>
      <c r="V447" s="1314"/>
      <c r="W447" s="1314"/>
      <c r="X447" s="1314"/>
      <c r="Y447" s="1314"/>
      <c r="Z447" s="1314"/>
    </row>
    <row r="448" spans="1:26" ht="18.75" hidden="1">
      <c r="A448" s="1331"/>
      <c r="B448" s="1336"/>
      <c r="C448" s="1332"/>
      <c r="D448" s="1333"/>
      <c r="E448" s="1332" t="s">
        <v>185</v>
      </c>
      <c r="F448" s="1332"/>
      <c r="G448" s="1334"/>
      <c r="H448" s="165" t="s">
        <v>12</v>
      </c>
      <c r="I448" s="898"/>
      <c r="J448" s="898"/>
      <c r="K448" s="899"/>
      <c r="L448" s="899">
        <v>0</v>
      </c>
      <c r="M448" s="899">
        <v>0</v>
      </c>
      <c r="N448" s="899">
        <v>0</v>
      </c>
      <c r="O448" s="899">
        <f t="shared" si="198"/>
        <v>0</v>
      </c>
      <c r="P448" s="899">
        <f t="shared" si="199"/>
        <v>0</v>
      </c>
      <c r="Q448" s="1335"/>
      <c r="R448" s="1335"/>
      <c r="S448" s="1335"/>
      <c r="T448" s="1335"/>
      <c r="U448" s="1335"/>
      <c r="V448" s="1335"/>
      <c r="W448" s="1335"/>
      <c r="X448" s="1335"/>
      <c r="Y448" s="1335"/>
      <c r="Z448" s="1335"/>
    </row>
    <row r="449" spans="1:26" ht="18.75" hidden="1">
      <c r="A449" s="1331"/>
      <c r="B449" s="1336"/>
      <c r="C449" s="1332"/>
      <c r="D449" s="1333"/>
      <c r="E449" s="1332" t="s">
        <v>186</v>
      </c>
      <c r="F449" s="1332"/>
      <c r="G449" s="1334"/>
      <c r="H449" s="165" t="s">
        <v>12</v>
      </c>
      <c r="I449" s="898"/>
      <c r="J449" s="898"/>
      <c r="K449" s="899"/>
      <c r="L449" s="899">
        <f ca="1">IFERROR(__xludf.DUMMYFUNCTION("IMPORTRANGE(""https://docs.google.com/spreadsheets/d/1QqKyyYR6Q21VydFLVH3TRQUabQu_ym0Zz7PgGX0-kHA/edit?usp=sharing"",""แผน!FJ51"")"),604000)</f>
        <v>604000</v>
      </c>
      <c r="M449" s="899">
        <f ca="1">L449</f>
        <v>604000</v>
      </c>
      <c r="N449" s="899">
        <f>N450+N451+N452+N453</f>
        <v>524701</v>
      </c>
      <c r="O449" s="899">
        <f t="shared" ca="1" si="198"/>
        <v>86.871026490066228</v>
      </c>
      <c r="P449" s="899">
        <f t="shared" ca="1" si="199"/>
        <v>86.871026490066228</v>
      </c>
      <c r="Q449" s="1335"/>
      <c r="R449" s="1335"/>
      <c r="S449" s="1335"/>
      <c r="T449" s="1335"/>
      <c r="U449" s="1335"/>
      <c r="V449" s="1335"/>
      <c r="W449" s="1335"/>
      <c r="X449" s="1335"/>
      <c r="Y449" s="1335"/>
      <c r="Z449" s="1335"/>
    </row>
    <row r="450" spans="1:26" ht="18.75">
      <c r="A450" s="1311"/>
      <c r="B450" s="1312"/>
      <c r="C450" s="1313"/>
      <c r="D450" s="1313"/>
      <c r="E450" s="1313"/>
      <c r="F450" s="1313" t="s">
        <v>187</v>
      </c>
      <c r="G450" s="1028"/>
      <c r="H450" s="161" t="s">
        <v>12</v>
      </c>
      <c r="I450" s="892"/>
      <c r="J450" s="892"/>
      <c r="K450" s="893"/>
      <c r="L450" s="893"/>
      <c r="M450" s="893"/>
      <c r="N450" s="1096">
        <v>115180</v>
      </c>
      <c r="O450" s="893"/>
      <c r="P450" s="893"/>
      <c r="Q450" s="1314"/>
      <c r="R450" s="1314"/>
      <c r="S450" s="1314"/>
      <c r="T450" s="1314"/>
      <c r="U450" s="1314"/>
      <c r="V450" s="1314"/>
      <c r="W450" s="1314"/>
      <c r="X450" s="1314"/>
      <c r="Y450" s="1314"/>
      <c r="Z450" s="1314"/>
    </row>
    <row r="451" spans="1:26" ht="18.75">
      <c r="A451" s="1311"/>
      <c r="B451" s="1312"/>
      <c r="C451" s="1313"/>
      <c r="D451" s="1313"/>
      <c r="E451" s="1313"/>
      <c r="F451" s="1313" t="s">
        <v>188</v>
      </c>
      <c r="G451" s="1028"/>
      <c r="H451" s="161" t="s">
        <v>12</v>
      </c>
      <c r="I451" s="892"/>
      <c r="J451" s="892"/>
      <c r="K451" s="893"/>
      <c r="L451" s="893"/>
      <c r="M451" s="893"/>
      <c r="N451" s="1096">
        <v>285000</v>
      </c>
      <c r="O451" s="893"/>
      <c r="P451" s="893"/>
      <c r="Q451" s="1314"/>
      <c r="R451" s="1314"/>
      <c r="S451" s="1314"/>
      <c r="T451" s="1314"/>
      <c r="U451" s="1314"/>
      <c r="V451" s="1314"/>
      <c r="W451" s="1314"/>
      <c r="X451" s="1314"/>
      <c r="Y451" s="1314"/>
      <c r="Z451" s="1314"/>
    </row>
    <row r="452" spans="1:26" ht="18.75">
      <c r="A452" s="1311"/>
      <c r="B452" s="1312"/>
      <c r="C452" s="1312"/>
      <c r="D452" s="1312"/>
      <c r="E452" s="1312"/>
      <c r="F452" s="1313" t="s">
        <v>189</v>
      </c>
      <c r="G452" s="1028"/>
      <c r="H452" s="161" t="s">
        <v>12</v>
      </c>
      <c r="I452" s="892"/>
      <c r="J452" s="892"/>
      <c r="K452" s="893"/>
      <c r="L452" s="893"/>
      <c r="M452" s="893"/>
      <c r="N452" s="1096">
        <v>63701</v>
      </c>
      <c r="O452" s="893"/>
      <c r="P452" s="893"/>
      <c r="Q452" s="1314"/>
      <c r="R452" s="1314"/>
      <c r="S452" s="1314"/>
      <c r="T452" s="1314"/>
      <c r="U452" s="1314"/>
      <c r="V452" s="1314"/>
      <c r="W452" s="1314"/>
      <c r="X452" s="1314"/>
      <c r="Y452" s="1314"/>
      <c r="Z452" s="1314"/>
    </row>
    <row r="453" spans="1:26" ht="18.75">
      <c r="A453" s="1311"/>
      <c r="B453" s="1312"/>
      <c r="C453" s="1312"/>
      <c r="D453" s="1312"/>
      <c r="E453" s="1312"/>
      <c r="F453" s="1313" t="s">
        <v>190</v>
      </c>
      <c r="G453" s="1028"/>
      <c r="H453" s="161" t="s">
        <v>12</v>
      </c>
      <c r="I453" s="892"/>
      <c r="J453" s="892"/>
      <c r="K453" s="893"/>
      <c r="L453" s="893"/>
      <c r="M453" s="893"/>
      <c r="N453" s="1096">
        <f>14400+1220+5000+18000+20000+2200</f>
        <v>60820</v>
      </c>
      <c r="O453" s="893"/>
      <c r="P453" s="893"/>
      <c r="Q453" s="1314"/>
      <c r="R453" s="1314"/>
      <c r="S453" s="1314"/>
      <c r="T453" s="1314"/>
      <c r="U453" s="1314"/>
      <c r="V453" s="1314"/>
      <c r="W453" s="1314"/>
      <c r="X453" s="1314"/>
      <c r="Y453" s="1314"/>
      <c r="Z453" s="1314"/>
    </row>
    <row r="454" spans="1:26" ht="18.75">
      <c r="A454" s="1329"/>
      <c r="B454" s="1312"/>
      <c r="C454" s="1312"/>
      <c r="D454" s="1337" t="s">
        <v>21</v>
      </c>
      <c r="E454" s="1312"/>
      <c r="F454" s="1313"/>
      <c r="G454" s="1028"/>
      <c r="H454" s="168" t="s">
        <v>12</v>
      </c>
      <c r="I454" s="1009"/>
      <c r="J454" s="1009"/>
      <c r="K454" s="1010"/>
      <c r="L454" s="893">
        <f t="shared" ref="L454:N454" ca="1" si="202">L455+L456</f>
        <v>0</v>
      </c>
      <c r="M454" s="893">
        <f t="shared" si="202"/>
        <v>0</v>
      </c>
      <c r="N454" s="893">
        <f t="shared" si="202"/>
        <v>0</v>
      </c>
      <c r="O454" s="893">
        <f t="shared" ref="O454:O456" ca="1" si="203">IF(L454&gt;0,N454*100/L454,0)</f>
        <v>0</v>
      </c>
      <c r="P454" s="893">
        <f t="shared" ref="P454:P456" si="204">IF(M454&gt;0,N454*100/M454,0)</f>
        <v>0</v>
      </c>
      <c r="Q454" s="1314"/>
      <c r="R454" s="1314"/>
      <c r="S454" s="1314"/>
      <c r="T454" s="1314"/>
      <c r="U454" s="1314"/>
      <c r="V454" s="1314"/>
      <c r="W454" s="1314"/>
      <c r="X454" s="1314"/>
      <c r="Y454" s="1314"/>
      <c r="Z454" s="1314"/>
    </row>
    <row r="455" spans="1:26" ht="18.75" hidden="1">
      <c r="A455" s="1331"/>
      <c r="B455" s="1336"/>
      <c r="C455" s="1336"/>
      <c r="D455" s="1336"/>
      <c r="E455" s="1336" t="s">
        <v>18</v>
      </c>
      <c r="F455" s="1332"/>
      <c r="G455" s="1334"/>
      <c r="H455" s="165" t="s">
        <v>12</v>
      </c>
      <c r="I455" s="1012"/>
      <c r="J455" s="1012"/>
      <c r="K455" s="1013"/>
      <c r="L455" s="899">
        <v>0</v>
      </c>
      <c r="M455" s="899">
        <v>0</v>
      </c>
      <c r="N455" s="899">
        <v>0</v>
      </c>
      <c r="O455" s="899">
        <f t="shared" si="203"/>
        <v>0</v>
      </c>
      <c r="P455" s="899">
        <f t="shared" si="204"/>
        <v>0</v>
      </c>
      <c r="Q455" s="1335"/>
      <c r="R455" s="1335"/>
      <c r="S455" s="1335"/>
      <c r="T455" s="1335"/>
      <c r="U455" s="1335"/>
      <c r="V455" s="1335"/>
      <c r="W455" s="1335"/>
      <c r="X455" s="1335"/>
      <c r="Y455" s="1335"/>
      <c r="Z455" s="1335"/>
    </row>
    <row r="456" spans="1:26" ht="18.75" hidden="1">
      <c r="A456" s="1331"/>
      <c r="B456" s="1336"/>
      <c r="C456" s="1336"/>
      <c r="D456" s="1336"/>
      <c r="E456" s="1336" t="s">
        <v>19</v>
      </c>
      <c r="F456" s="1332"/>
      <c r="G456" s="1334"/>
      <c r="H456" s="169" t="s">
        <v>12</v>
      </c>
      <c r="I456" s="1012"/>
      <c r="J456" s="1012"/>
      <c r="K456" s="1013"/>
      <c r="L456" s="899">
        <f ca="1">IFERROR(__xludf.DUMMYFUNCTION("IMPORTRANGE(""https://docs.google.com/spreadsheets/d/1QqKyyYR6Q21VydFLVH3TRQUabQu_ym0Zz7PgGX0-kHA/edit?usp=sharing"",""แผน!FM51"")"),0)</f>
        <v>0</v>
      </c>
      <c r="M456" s="899">
        <v>0</v>
      </c>
      <c r="N456" s="899">
        <v>0</v>
      </c>
      <c r="O456" s="899">
        <f t="shared" ca="1" si="203"/>
        <v>0</v>
      </c>
      <c r="P456" s="899">
        <f t="shared" si="204"/>
        <v>0</v>
      </c>
      <c r="Q456" s="1335"/>
      <c r="R456" s="1335"/>
      <c r="S456" s="1335"/>
      <c r="T456" s="1335"/>
      <c r="U456" s="1335"/>
      <c r="V456" s="1335"/>
      <c r="W456" s="1335"/>
      <c r="X456" s="1335"/>
      <c r="Y456" s="1335"/>
      <c r="Z456" s="1335"/>
    </row>
    <row r="457" spans="1:26" ht="19.5">
      <c r="A457" s="1338"/>
      <c r="B457" s="1339"/>
      <c r="C457" s="1312" t="s">
        <v>16</v>
      </c>
      <c r="D457" s="1340" t="s">
        <v>38</v>
      </c>
      <c r="E457" s="1341"/>
      <c r="F457" s="1342"/>
      <c r="G457" s="1343"/>
      <c r="H457" s="1019"/>
      <c r="I457" s="892"/>
      <c r="J457" s="892"/>
      <c r="K457" s="893"/>
      <c r="L457" s="893"/>
      <c r="M457" s="893"/>
      <c r="N457" s="893"/>
      <c r="O457" s="893"/>
      <c r="P457" s="893"/>
      <c r="Q457" s="1314"/>
      <c r="R457" s="1314"/>
      <c r="S457" s="1314"/>
      <c r="T457" s="1314"/>
      <c r="U457" s="1314"/>
      <c r="V457" s="1314"/>
      <c r="W457" s="1314"/>
      <c r="X457" s="1314"/>
      <c r="Y457" s="1314"/>
      <c r="Z457" s="1314"/>
    </row>
    <row r="458" spans="1:26" ht="18.75" hidden="1">
      <c r="A458" s="1344"/>
      <c r="B458" s="1345"/>
      <c r="C458" s="1345"/>
      <c r="D458" s="1345" t="s">
        <v>201</v>
      </c>
      <c r="E458" s="1345"/>
      <c r="F458" s="1333"/>
      <c r="G458" s="1124"/>
      <c r="H458" s="370" t="s">
        <v>35</v>
      </c>
      <c r="I458" s="898">
        <v>0</v>
      </c>
      <c r="J458" s="898">
        <v>0</v>
      </c>
      <c r="K458" s="899">
        <f>IF(I458&gt;0,J458*100/I458,0)</f>
        <v>0</v>
      </c>
      <c r="L458" s="899"/>
      <c r="M458" s="899"/>
      <c r="N458" s="899"/>
      <c r="O458" s="899"/>
      <c r="P458" s="899"/>
      <c r="Q458" s="1335"/>
      <c r="R458" s="1335"/>
      <c r="S458" s="1335"/>
      <c r="T458" s="1335"/>
      <c r="U458" s="1335"/>
      <c r="V458" s="1335"/>
      <c r="W458" s="1335"/>
      <c r="X458" s="1335"/>
      <c r="Y458" s="1335"/>
      <c r="Z458" s="1335"/>
    </row>
    <row r="459" spans="1:26" ht="18.75" hidden="1">
      <c r="A459" s="1344"/>
      <c r="B459" s="1345"/>
      <c r="C459" s="1345"/>
      <c r="D459" s="1345" t="s">
        <v>202</v>
      </c>
      <c r="E459" s="1345"/>
      <c r="F459" s="1333"/>
      <c r="G459" s="1124"/>
      <c r="H459" s="370"/>
      <c r="I459" s="898"/>
      <c r="J459" s="898"/>
      <c r="K459" s="899"/>
      <c r="L459" s="899"/>
      <c r="M459" s="899"/>
      <c r="N459" s="899"/>
      <c r="O459" s="899"/>
      <c r="P459" s="899"/>
      <c r="Q459" s="1335"/>
      <c r="R459" s="1335"/>
      <c r="S459" s="1335"/>
      <c r="T459" s="1335"/>
      <c r="U459" s="1335"/>
      <c r="V459" s="1335"/>
      <c r="W459" s="1335"/>
      <c r="X459" s="1335"/>
      <c r="Y459" s="1335"/>
      <c r="Z459" s="1335"/>
    </row>
    <row r="460" spans="1:26" ht="18.75">
      <c r="A460" s="1338"/>
      <c r="B460" s="1339"/>
      <c r="C460" s="1339"/>
      <c r="D460" s="1339" t="s">
        <v>203</v>
      </c>
      <c r="E460" s="1339"/>
      <c r="F460" s="1026"/>
      <c r="G460" s="1019"/>
      <c r="H460" s="761" t="s">
        <v>35</v>
      </c>
      <c r="I460" s="892">
        <f ca="1">IFERROR(__xludf.DUMMYFUNCTION("IMPORTRANGE(""https://docs.google.com/spreadsheets/d/1QqKyyYR6Q21VydFLVH3TRQUabQu_ym0Zz7PgGX0-kHA/edit?usp=sharing"",""แผน!FN51"")"),90)</f>
        <v>90</v>
      </c>
      <c r="J460" s="1024">
        <v>90</v>
      </c>
      <c r="K460" s="893">
        <f ca="1">IF(I460&gt;0,J460*100/I460,0)</f>
        <v>100</v>
      </c>
      <c r="L460" s="893"/>
      <c r="M460" s="893"/>
      <c r="N460" s="893"/>
      <c r="O460" s="893"/>
      <c r="P460" s="893"/>
      <c r="Q460" s="1314"/>
      <c r="R460" s="1314"/>
      <c r="S460" s="1314"/>
      <c r="T460" s="1314"/>
      <c r="U460" s="1314"/>
      <c r="V460" s="1314"/>
      <c r="W460" s="1314"/>
      <c r="X460" s="1314"/>
      <c r="Y460" s="1314"/>
      <c r="Z460" s="1314"/>
    </row>
    <row r="461" spans="1:26" ht="18.75">
      <c r="A461" s="1338"/>
      <c r="B461" s="1339"/>
      <c r="C461" s="1339"/>
      <c r="D461" s="1339" t="s">
        <v>204</v>
      </c>
      <c r="E461" s="1026"/>
      <c r="F461" s="1026"/>
      <c r="G461" s="1019"/>
      <c r="H461" s="761"/>
      <c r="I461" s="892"/>
      <c r="J461" s="892"/>
      <c r="K461" s="893"/>
      <c r="L461" s="893"/>
      <c r="M461" s="893"/>
      <c r="N461" s="893"/>
      <c r="O461" s="893"/>
      <c r="P461" s="893"/>
      <c r="Q461" s="1314"/>
      <c r="R461" s="1314"/>
      <c r="S461" s="1314"/>
      <c r="T461" s="1314"/>
      <c r="U461" s="1314"/>
      <c r="V461" s="1314"/>
      <c r="W461" s="1314"/>
      <c r="X461" s="1314"/>
      <c r="Y461" s="1314"/>
      <c r="Z461" s="1314"/>
    </row>
    <row r="462" spans="1:26" ht="18.75">
      <c r="A462" s="1338"/>
      <c r="B462" s="1339"/>
      <c r="C462" s="1339"/>
      <c r="D462" s="1339" t="s">
        <v>205</v>
      </c>
      <c r="E462" s="1026"/>
      <c r="F462" s="1026"/>
      <c r="G462" s="1019"/>
      <c r="H462" s="761" t="s">
        <v>46</v>
      </c>
      <c r="I462" s="892">
        <f ca="1">IFERROR(__xludf.DUMMYFUNCTION("IMPORTRANGE(""https://docs.google.com/spreadsheets/d/1QqKyyYR6Q21VydFLVH3TRQUabQu_ym0Zz7PgGX0-kHA/edit?usp=sharing"",""แผน!FO51"")"),300)</f>
        <v>300</v>
      </c>
      <c r="J462" s="1024">
        <v>300</v>
      </c>
      <c r="K462" s="893">
        <f t="shared" ref="K462:K466" ca="1" si="205">IF(I462&gt;0,J462*100/I462,0)</f>
        <v>100</v>
      </c>
      <c r="L462" s="893"/>
      <c r="M462" s="893"/>
      <c r="N462" s="893"/>
      <c r="O462" s="893"/>
      <c r="P462" s="893"/>
      <c r="Q462" s="1314"/>
      <c r="R462" s="1314"/>
      <c r="S462" s="1314"/>
      <c r="T462" s="1314"/>
      <c r="U462" s="1314"/>
      <c r="V462" s="1314"/>
      <c r="W462" s="1314"/>
      <c r="X462" s="1314"/>
      <c r="Y462" s="1314"/>
      <c r="Z462" s="1314"/>
    </row>
    <row r="463" spans="1:26" ht="18.75">
      <c r="A463" s="1338"/>
      <c r="B463" s="1339"/>
      <c r="C463" s="1339"/>
      <c r="D463" s="1339" t="s">
        <v>59</v>
      </c>
      <c r="E463" s="1026"/>
      <c r="F463" s="1313"/>
      <c r="G463" s="1028"/>
      <c r="H463" s="761" t="s">
        <v>46</v>
      </c>
      <c r="I463" s="892">
        <f ca="1">IFERROR(__xludf.DUMMYFUNCTION("IMPORTRANGE(""https://docs.google.com/spreadsheets/d/1QqKyyYR6Q21VydFLVH3TRQUabQu_ym0Zz7PgGX0-kHA/edit?usp=sharing"",""แผน!FO51"")"),300)</f>
        <v>300</v>
      </c>
      <c r="J463" s="1024">
        <v>300</v>
      </c>
      <c r="K463" s="893">
        <f t="shared" ca="1" si="205"/>
        <v>100</v>
      </c>
      <c r="L463" s="893"/>
      <c r="M463" s="893"/>
      <c r="N463" s="893"/>
      <c r="O463" s="893"/>
      <c r="P463" s="893"/>
      <c r="Q463" s="1314"/>
      <c r="R463" s="1314"/>
      <c r="S463" s="1314"/>
      <c r="T463" s="1314"/>
      <c r="U463" s="1314"/>
      <c r="V463" s="1314"/>
      <c r="W463" s="1314"/>
      <c r="X463" s="1314"/>
      <c r="Y463" s="1314"/>
      <c r="Z463" s="1314"/>
    </row>
    <row r="464" spans="1:26" ht="19.5">
      <c r="A464" s="1338"/>
      <c r="B464" s="1339"/>
      <c r="C464" s="1339"/>
      <c r="D464" s="1339"/>
      <c r="E464" s="1026"/>
      <c r="F464" s="1026"/>
      <c r="G464" s="1346"/>
      <c r="H464" s="761" t="s">
        <v>35</v>
      </c>
      <c r="I464" s="892">
        <f ca="1">IFERROR(__xludf.DUMMYFUNCTION("IMPORTRANGE(""https://docs.google.com/spreadsheets/d/1QqKyyYR6Q21VydFLVH3TRQUabQu_ym0Zz7PgGX0-kHA/edit?usp=sharing"",""แผน!FN51"")"),90)</f>
        <v>90</v>
      </c>
      <c r="J464" s="1024">
        <v>90</v>
      </c>
      <c r="K464" s="893">
        <f t="shared" ca="1" si="205"/>
        <v>100</v>
      </c>
      <c r="L464" s="893"/>
      <c r="M464" s="893"/>
      <c r="N464" s="893"/>
      <c r="O464" s="893"/>
      <c r="P464" s="893"/>
      <c r="Q464" s="1314"/>
      <c r="R464" s="1314"/>
      <c r="S464" s="1314"/>
      <c r="T464" s="1314"/>
      <c r="U464" s="1314"/>
      <c r="V464" s="1314"/>
      <c r="W464" s="1314"/>
      <c r="X464" s="1314"/>
      <c r="Y464" s="1314"/>
      <c r="Z464" s="1314"/>
    </row>
    <row r="465" spans="1:26" ht="19.5">
      <c r="A465" s="583">
        <v>3</v>
      </c>
      <c r="B465" s="1319" t="s">
        <v>206</v>
      </c>
      <c r="C465" s="1320"/>
      <c r="D465" s="1320"/>
      <c r="E465" s="1320"/>
      <c r="F465" s="1320"/>
      <c r="G465" s="1321"/>
      <c r="H465" s="587" t="s">
        <v>35</v>
      </c>
      <c r="I465" s="1322">
        <f ca="1">IFERROR(__xludf.DUMMYFUNCTION("IMPORTRANGE(""https://docs.google.com/spreadsheets/d/1QqKyyYR6Q21VydFLVH3TRQUabQu_ym0Zz7PgGX0-kHA/edit?usp=sharing"",""แผน!FX51"")"),131)</f>
        <v>131</v>
      </c>
      <c r="J465" s="1322">
        <f>J485+J489+J492</f>
        <v>131</v>
      </c>
      <c r="K465" s="1323">
        <f t="shared" ca="1" si="205"/>
        <v>100</v>
      </c>
      <c r="L465" s="1324"/>
      <c r="M465" s="1324"/>
      <c r="N465" s="1324"/>
      <c r="O465" s="1324"/>
      <c r="P465" s="1324"/>
      <c r="Q465" s="1314"/>
      <c r="R465" s="1314"/>
      <c r="S465" s="1314"/>
      <c r="T465" s="1314"/>
      <c r="U465" s="1314"/>
      <c r="V465" s="1314"/>
      <c r="W465" s="1314"/>
      <c r="X465" s="1314"/>
      <c r="Y465" s="1314"/>
      <c r="Z465" s="1314"/>
    </row>
    <row r="466" spans="1:26" ht="19.5">
      <c r="A466" s="1325"/>
      <c r="B466" s="1326"/>
      <c r="C466" s="1327"/>
      <c r="D466" s="1327"/>
      <c r="E466" s="1327"/>
      <c r="F466" s="1327"/>
      <c r="G466" s="1328"/>
      <c r="H466" s="567" t="s">
        <v>46</v>
      </c>
      <c r="I466" s="1306">
        <f ca="1">IFERROR(__xludf.DUMMYFUNCTION("IMPORTRANGE(""https://docs.google.com/spreadsheets/d/1QqKyyYR6Q21VydFLVH3TRQUabQu_ym0Zz7PgGX0-kHA/edit?usp=sharing"",""แผน!FW51"")"),1300)</f>
        <v>1300</v>
      </c>
      <c r="J466" s="1306">
        <f>J495+J498</f>
        <v>0</v>
      </c>
      <c r="K466" s="1307">
        <f t="shared" ca="1" si="205"/>
        <v>0</v>
      </c>
      <c r="L466" s="1308"/>
      <c r="M466" s="1308"/>
      <c r="N466" s="1308"/>
      <c r="O466" s="1308"/>
      <c r="P466" s="1308"/>
      <c r="Q466" s="1314"/>
      <c r="R466" s="1314"/>
      <c r="S466" s="1314"/>
      <c r="T466" s="1314"/>
      <c r="U466" s="1314"/>
      <c r="V466" s="1314"/>
      <c r="W466" s="1314"/>
      <c r="X466" s="1314"/>
      <c r="Y466" s="1314"/>
      <c r="Z466" s="1314"/>
    </row>
    <row r="467" spans="1:26" ht="19.5">
      <c r="A467" s="1329"/>
      <c r="B467" s="1313"/>
      <c r="C467" s="1313" t="s">
        <v>16</v>
      </c>
      <c r="D467" s="1330" t="s">
        <v>17</v>
      </c>
      <c r="E467" s="853"/>
      <c r="F467" s="853"/>
      <c r="G467" s="1028"/>
      <c r="H467" s="596" t="s">
        <v>12</v>
      </c>
      <c r="I467" s="892"/>
      <c r="J467" s="892"/>
      <c r="K467" s="893"/>
      <c r="L467" s="1032">
        <f t="shared" ref="L467:N467" ca="1" si="206">L468+L469</f>
        <v>1172698</v>
      </c>
      <c r="M467" s="1032">
        <f t="shared" ca="1" si="206"/>
        <v>1172698</v>
      </c>
      <c r="N467" s="1032">
        <f t="shared" si="206"/>
        <v>257678</v>
      </c>
      <c r="O467" s="1032">
        <f t="shared" ref="O467:O472" ca="1" si="207">IF(L467&gt;0,N467*100/L467,0)</f>
        <v>21.973091111266498</v>
      </c>
      <c r="P467" s="1032">
        <f t="shared" ref="P467:P472" ca="1" si="208">IF(M467&gt;0,N467*100/M467,0)</f>
        <v>21.973091111266498</v>
      </c>
      <c r="Q467" s="1314"/>
      <c r="R467" s="1314"/>
      <c r="S467" s="1314"/>
      <c r="T467" s="1314"/>
      <c r="U467" s="1314"/>
      <c r="V467" s="1314"/>
      <c r="W467" s="1314"/>
      <c r="X467" s="1314"/>
      <c r="Y467" s="1314"/>
      <c r="Z467" s="1314"/>
    </row>
    <row r="468" spans="1:26" ht="18.75" hidden="1">
      <c r="A468" s="1331"/>
      <c r="B468" s="1332"/>
      <c r="C468" s="1332"/>
      <c r="D468" s="1333"/>
      <c r="E468" s="1332" t="s">
        <v>185</v>
      </c>
      <c r="F468" s="1332"/>
      <c r="G468" s="1334"/>
      <c r="H468" s="165" t="s">
        <v>12</v>
      </c>
      <c r="I468" s="898"/>
      <c r="J468" s="898"/>
      <c r="K468" s="899"/>
      <c r="L468" s="899">
        <f t="shared" ref="L468:N469" si="209">L471+L478</f>
        <v>0</v>
      </c>
      <c r="M468" s="899">
        <f t="shared" si="209"/>
        <v>0</v>
      </c>
      <c r="N468" s="899">
        <f t="shared" si="209"/>
        <v>0</v>
      </c>
      <c r="O468" s="899">
        <f t="shared" si="207"/>
        <v>0</v>
      </c>
      <c r="P468" s="899">
        <f t="shared" si="208"/>
        <v>0</v>
      </c>
      <c r="Q468" s="1335"/>
      <c r="R468" s="1335"/>
      <c r="S468" s="1335"/>
      <c r="T468" s="1335"/>
      <c r="U468" s="1335"/>
      <c r="V468" s="1335"/>
      <c r="W468" s="1335"/>
      <c r="X468" s="1335"/>
      <c r="Y468" s="1335"/>
      <c r="Z468" s="1335"/>
    </row>
    <row r="469" spans="1:26" ht="18.75" hidden="1">
      <c r="A469" s="1331"/>
      <c r="B469" s="1336"/>
      <c r="C469" s="1332"/>
      <c r="D469" s="1333"/>
      <c r="E469" s="1332" t="s">
        <v>186</v>
      </c>
      <c r="F469" s="1332"/>
      <c r="G469" s="1334"/>
      <c r="H469" s="165" t="s">
        <v>12</v>
      </c>
      <c r="I469" s="898"/>
      <c r="J469" s="898"/>
      <c r="K469" s="899"/>
      <c r="L469" s="899">
        <f t="shared" ca="1" si="209"/>
        <v>1172698</v>
      </c>
      <c r="M469" s="899">
        <f t="shared" ca="1" si="209"/>
        <v>1172698</v>
      </c>
      <c r="N469" s="899">
        <f t="shared" si="209"/>
        <v>257678</v>
      </c>
      <c r="O469" s="899">
        <f t="shared" ca="1" si="207"/>
        <v>21.973091111266498</v>
      </c>
      <c r="P469" s="899">
        <f t="shared" ca="1" si="208"/>
        <v>21.973091111266498</v>
      </c>
      <c r="Q469" s="1335"/>
      <c r="R469" s="1335"/>
      <c r="S469" s="1335"/>
      <c r="T469" s="1335"/>
      <c r="U469" s="1335"/>
      <c r="V469" s="1335"/>
      <c r="W469" s="1335"/>
      <c r="X469" s="1335"/>
      <c r="Y469" s="1335"/>
      <c r="Z469" s="1335"/>
    </row>
    <row r="470" spans="1:26" ht="18.75">
      <c r="A470" s="1329"/>
      <c r="B470" s="1312"/>
      <c r="C470" s="1313"/>
      <c r="D470" s="1337" t="s">
        <v>20</v>
      </c>
      <c r="E470" s="1313"/>
      <c r="F470" s="1313"/>
      <c r="G470" s="1028"/>
      <c r="H470" s="161" t="s">
        <v>12</v>
      </c>
      <c r="I470" s="1009"/>
      <c r="J470" s="1009"/>
      <c r="K470" s="1010"/>
      <c r="L470" s="893">
        <f t="shared" ref="L470:N470" ca="1" si="210">L471+L472</f>
        <v>1172698</v>
      </c>
      <c r="M470" s="893">
        <f t="shared" ca="1" si="210"/>
        <v>1172698</v>
      </c>
      <c r="N470" s="893">
        <f t="shared" si="210"/>
        <v>257678</v>
      </c>
      <c r="O470" s="893">
        <f t="shared" ca="1" si="207"/>
        <v>21.973091111266498</v>
      </c>
      <c r="P470" s="893">
        <f t="shared" ca="1" si="208"/>
        <v>21.973091111266498</v>
      </c>
      <c r="Q470" s="1314"/>
      <c r="R470" s="1314"/>
      <c r="S470" s="1314"/>
      <c r="T470" s="1314"/>
      <c r="U470" s="1314"/>
      <c r="V470" s="1314"/>
      <c r="W470" s="1314"/>
      <c r="X470" s="1314"/>
      <c r="Y470" s="1314"/>
      <c r="Z470" s="1314"/>
    </row>
    <row r="471" spans="1:26" ht="18.75" hidden="1">
      <c r="A471" s="1331"/>
      <c r="B471" s="1336"/>
      <c r="C471" s="1332"/>
      <c r="D471" s="1333"/>
      <c r="E471" s="1332" t="s">
        <v>185</v>
      </c>
      <c r="F471" s="1332"/>
      <c r="G471" s="1334"/>
      <c r="H471" s="165" t="s">
        <v>12</v>
      </c>
      <c r="I471" s="898"/>
      <c r="J471" s="898"/>
      <c r="K471" s="899"/>
      <c r="L471" s="899">
        <v>0</v>
      </c>
      <c r="M471" s="899">
        <v>0</v>
      </c>
      <c r="N471" s="899">
        <v>0</v>
      </c>
      <c r="O471" s="899">
        <f t="shared" si="207"/>
        <v>0</v>
      </c>
      <c r="P471" s="899">
        <f t="shared" si="208"/>
        <v>0</v>
      </c>
      <c r="Q471" s="1335"/>
      <c r="R471" s="1335"/>
      <c r="S471" s="1335"/>
      <c r="T471" s="1335"/>
      <c r="U471" s="1335"/>
      <c r="V471" s="1335"/>
      <c r="W471" s="1335"/>
      <c r="X471" s="1335"/>
      <c r="Y471" s="1335"/>
      <c r="Z471" s="1335"/>
    </row>
    <row r="472" spans="1:26" ht="18.75" hidden="1">
      <c r="A472" s="1331"/>
      <c r="B472" s="1336"/>
      <c r="C472" s="1332"/>
      <c r="D472" s="1333"/>
      <c r="E472" s="1332" t="s">
        <v>186</v>
      </c>
      <c r="F472" s="1332"/>
      <c r="G472" s="1334"/>
      <c r="H472" s="165" t="s">
        <v>12</v>
      </c>
      <c r="I472" s="898"/>
      <c r="J472" s="898"/>
      <c r="K472" s="899"/>
      <c r="L472" s="899">
        <f ca="1">IFERROR(__xludf.DUMMYFUNCTION("IMPORTRANGE(""https://docs.google.com/spreadsheets/d/1QqKyyYR6Q21VydFLVH3TRQUabQu_ym0Zz7PgGX0-kHA/edit?usp=sharing"",""แผน!FS51"")"),1172698)</f>
        <v>1172698</v>
      </c>
      <c r="M472" s="899">
        <f ca="1">L472</f>
        <v>1172698</v>
      </c>
      <c r="N472" s="899">
        <f>N473+N474+N475+N476</f>
        <v>257678</v>
      </c>
      <c r="O472" s="899">
        <f t="shared" ca="1" si="207"/>
        <v>21.973091111266498</v>
      </c>
      <c r="P472" s="899">
        <f t="shared" ca="1" si="208"/>
        <v>21.973091111266498</v>
      </c>
      <c r="Q472" s="1335"/>
      <c r="R472" s="1335"/>
      <c r="S472" s="1335"/>
      <c r="T472" s="1335"/>
      <c r="U472" s="1335"/>
      <c r="V472" s="1335"/>
      <c r="W472" s="1335"/>
      <c r="X472" s="1335"/>
      <c r="Y472" s="1335"/>
      <c r="Z472" s="1335"/>
    </row>
    <row r="473" spans="1:26" ht="18.75">
      <c r="A473" s="1311"/>
      <c r="B473" s="1312"/>
      <c r="C473" s="1313"/>
      <c r="D473" s="1313"/>
      <c r="E473" s="1313"/>
      <c r="F473" s="1313" t="s">
        <v>187</v>
      </c>
      <c r="G473" s="1028"/>
      <c r="H473" s="161" t="s">
        <v>12</v>
      </c>
      <c r="I473" s="892"/>
      <c r="J473" s="892"/>
      <c r="K473" s="893"/>
      <c r="L473" s="893"/>
      <c r="M473" s="893"/>
      <c r="N473" s="1096">
        <v>166392</v>
      </c>
      <c r="O473" s="893"/>
      <c r="P473" s="893"/>
      <c r="Q473" s="1314"/>
      <c r="R473" s="1314"/>
      <c r="S473" s="1314"/>
      <c r="T473" s="1314"/>
      <c r="U473" s="1314"/>
      <c r="V473" s="1314"/>
      <c r="W473" s="1314"/>
      <c r="X473" s="1314"/>
      <c r="Y473" s="1314"/>
      <c r="Z473" s="1314"/>
    </row>
    <row r="474" spans="1:26" ht="18.75">
      <c r="A474" s="1311"/>
      <c r="B474" s="1312"/>
      <c r="C474" s="1313"/>
      <c r="D474" s="1313"/>
      <c r="E474" s="1313"/>
      <c r="F474" s="1313" t="s">
        <v>188</v>
      </c>
      <c r="G474" s="1028"/>
      <c r="H474" s="161" t="s">
        <v>12</v>
      </c>
      <c r="I474" s="892"/>
      <c r="J474" s="892"/>
      <c r="K474" s="893"/>
      <c r="L474" s="893"/>
      <c r="M474" s="893"/>
      <c r="N474" s="1096">
        <v>0</v>
      </c>
      <c r="O474" s="893"/>
      <c r="P474" s="893"/>
      <c r="Q474" s="1314"/>
      <c r="R474" s="1314"/>
      <c r="S474" s="1314"/>
      <c r="T474" s="1314"/>
      <c r="U474" s="1314"/>
      <c r="V474" s="1314"/>
      <c r="W474" s="1314"/>
      <c r="X474" s="1314"/>
      <c r="Y474" s="1314"/>
      <c r="Z474" s="1314"/>
    </row>
    <row r="475" spans="1:26" ht="18.75">
      <c r="A475" s="1311"/>
      <c r="B475" s="1312"/>
      <c r="C475" s="1312"/>
      <c r="D475" s="1312"/>
      <c r="E475" s="1312"/>
      <c r="F475" s="1313" t="s">
        <v>189</v>
      </c>
      <c r="G475" s="1028"/>
      <c r="H475" s="161" t="s">
        <v>12</v>
      </c>
      <c r="I475" s="892"/>
      <c r="J475" s="892"/>
      <c r="K475" s="893"/>
      <c r="L475" s="893"/>
      <c r="M475" s="893"/>
      <c r="N475" s="1096">
        <v>65000</v>
      </c>
      <c r="O475" s="893"/>
      <c r="P475" s="893"/>
      <c r="Q475" s="1314"/>
      <c r="R475" s="1314"/>
      <c r="S475" s="1314"/>
      <c r="T475" s="1314"/>
      <c r="U475" s="1314"/>
      <c r="V475" s="1314"/>
      <c r="W475" s="1314"/>
      <c r="X475" s="1314"/>
      <c r="Y475" s="1314"/>
      <c r="Z475" s="1314"/>
    </row>
    <row r="476" spans="1:26" ht="18.75">
      <c r="A476" s="1311"/>
      <c r="B476" s="1312"/>
      <c r="C476" s="1312"/>
      <c r="D476" s="1312"/>
      <c r="E476" s="1312"/>
      <c r="F476" s="1313" t="s">
        <v>190</v>
      </c>
      <c r="G476" s="1028"/>
      <c r="H476" s="161" t="s">
        <v>12</v>
      </c>
      <c r="I476" s="892"/>
      <c r="J476" s="892"/>
      <c r="K476" s="893"/>
      <c r="L476" s="893"/>
      <c r="M476" s="893"/>
      <c r="N476" s="1096">
        <f>3900+12636+9750</f>
        <v>26286</v>
      </c>
      <c r="O476" s="893"/>
      <c r="P476" s="893"/>
      <c r="Q476" s="1314"/>
      <c r="R476" s="1314"/>
      <c r="S476" s="1314"/>
      <c r="T476" s="1314"/>
      <c r="U476" s="1314"/>
      <c r="V476" s="1314"/>
      <c r="W476" s="1314"/>
      <c r="X476" s="1314"/>
      <c r="Y476" s="1314"/>
      <c r="Z476" s="1314"/>
    </row>
    <row r="477" spans="1:26" ht="18.75">
      <c r="A477" s="1329"/>
      <c r="B477" s="1312"/>
      <c r="C477" s="1312"/>
      <c r="D477" s="1337" t="s">
        <v>21</v>
      </c>
      <c r="E477" s="1312"/>
      <c r="F477" s="1312"/>
      <c r="G477" s="1028"/>
      <c r="H477" s="168" t="s">
        <v>12</v>
      </c>
      <c r="I477" s="1009"/>
      <c r="J477" s="1009"/>
      <c r="K477" s="1010"/>
      <c r="L477" s="893">
        <f t="shared" ref="L477:N477" ca="1" si="211">L478+L479</f>
        <v>0</v>
      </c>
      <c r="M477" s="893">
        <f t="shared" si="211"/>
        <v>0</v>
      </c>
      <c r="N477" s="893">
        <f t="shared" si="211"/>
        <v>0</v>
      </c>
      <c r="O477" s="893">
        <f t="shared" ref="O477:O479" ca="1" si="212">IF(L477&gt;0,N477*100/L477,0)</f>
        <v>0</v>
      </c>
      <c r="P477" s="893">
        <f t="shared" ref="P477:P479" si="213">IF(M477&gt;0,N477*100/M477,0)</f>
        <v>0</v>
      </c>
      <c r="Q477" s="1314"/>
      <c r="R477" s="1314"/>
      <c r="S477" s="1314"/>
      <c r="T477" s="1314"/>
      <c r="U477" s="1314"/>
      <c r="V477" s="1314"/>
      <c r="W477" s="1314"/>
      <c r="X477" s="1314"/>
      <c r="Y477" s="1314"/>
      <c r="Z477" s="1314"/>
    </row>
    <row r="478" spans="1:26" ht="18.75" hidden="1">
      <c r="A478" s="1331"/>
      <c r="B478" s="1336"/>
      <c r="C478" s="1336"/>
      <c r="D478" s="1336"/>
      <c r="E478" s="1336" t="s">
        <v>18</v>
      </c>
      <c r="F478" s="1336"/>
      <c r="G478" s="1334"/>
      <c r="H478" s="165" t="s">
        <v>12</v>
      </c>
      <c r="I478" s="1012"/>
      <c r="J478" s="1012"/>
      <c r="K478" s="1013"/>
      <c r="L478" s="899">
        <v>0</v>
      </c>
      <c r="M478" s="899">
        <v>0</v>
      </c>
      <c r="N478" s="899">
        <v>0</v>
      </c>
      <c r="O478" s="899">
        <f t="shared" si="212"/>
        <v>0</v>
      </c>
      <c r="P478" s="899">
        <f t="shared" si="213"/>
        <v>0</v>
      </c>
      <c r="Q478" s="1335"/>
      <c r="R478" s="1335"/>
      <c r="S478" s="1335"/>
      <c r="T478" s="1335"/>
      <c r="U478" s="1335"/>
      <c r="V478" s="1335"/>
      <c r="W478" s="1335"/>
      <c r="X478" s="1335"/>
      <c r="Y478" s="1335"/>
      <c r="Z478" s="1335"/>
    </row>
    <row r="479" spans="1:26" ht="18.75" hidden="1">
      <c r="A479" s="1331"/>
      <c r="B479" s="1336"/>
      <c r="C479" s="1336"/>
      <c r="D479" s="1336"/>
      <c r="E479" s="1336" t="s">
        <v>19</v>
      </c>
      <c r="F479" s="1336"/>
      <c r="G479" s="1334"/>
      <c r="H479" s="169" t="s">
        <v>12</v>
      </c>
      <c r="I479" s="1012"/>
      <c r="J479" s="1012"/>
      <c r="K479" s="1013"/>
      <c r="L479" s="899">
        <f ca="1">IFERROR(__xludf.DUMMYFUNCTION("IMPORTRANGE(""https://docs.google.com/spreadsheets/d/1QqKyyYR6Q21VydFLVH3TRQUabQu_ym0Zz7PgGX0-kHA/edit?usp=sharing"",""แผน!FV51"")"),0)</f>
        <v>0</v>
      </c>
      <c r="M479" s="899">
        <v>0</v>
      </c>
      <c r="N479" s="899">
        <v>0</v>
      </c>
      <c r="O479" s="899">
        <f t="shared" ca="1" si="212"/>
        <v>0</v>
      </c>
      <c r="P479" s="899">
        <f t="shared" si="213"/>
        <v>0</v>
      </c>
      <c r="Q479" s="1335"/>
      <c r="R479" s="1335"/>
      <c r="S479" s="1335"/>
      <c r="T479" s="1335"/>
      <c r="U479" s="1335"/>
      <c r="V479" s="1335"/>
      <c r="W479" s="1335"/>
      <c r="X479" s="1335"/>
      <c r="Y479" s="1335"/>
      <c r="Z479" s="1335"/>
    </row>
    <row r="480" spans="1:26" ht="19.5">
      <c r="A480" s="1338"/>
      <c r="B480" s="1339"/>
      <c r="C480" s="1312" t="s">
        <v>16</v>
      </c>
      <c r="D480" s="1347" t="s">
        <v>38</v>
      </c>
      <c r="E480" s="1341"/>
      <c r="F480" s="1342"/>
      <c r="G480" s="1343"/>
      <c r="H480" s="1019"/>
      <c r="I480" s="892"/>
      <c r="J480" s="892"/>
      <c r="K480" s="893"/>
      <c r="L480" s="893"/>
      <c r="M480" s="893"/>
      <c r="N480" s="893"/>
      <c r="O480" s="893"/>
      <c r="P480" s="893"/>
      <c r="Q480" s="1314"/>
      <c r="R480" s="1314"/>
      <c r="S480" s="1314"/>
      <c r="T480" s="1314"/>
      <c r="U480" s="1314"/>
      <c r="V480" s="1314"/>
      <c r="W480" s="1314"/>
      <c r="X480" s="1314"/>
      <c r="Y480" s="1314"/>
      <c r="Z480" s="1314"/>
    </row>
    <row r="481" spans="1:26" ht="19.5">
      <c r="A481" s="1338"/>
      <c r="B481" s="1339"/>
      <c r="C481" s="1339"/>
      <c r="D481" s="1348" t="s">
        <v>207</v>
      </c>
      <c r="E481" s="1339"/>
      <c r="F481" s="1339"/>
      <c r="G481" s="1019"/>
      <c r="H481" s="1028"/>
      <c r="I481" s="892"/>
      <c r="J481" s="892"/>
      <c r="K481" s="893"/>
      <c r="L481" s="893"/>
      <c r="M481" s="893"/>
      <c r="N481" s="893"/>
      <c r="O481" s="893"/>
      <c r="P481" s="893"/>
      <c r="Q481" s="1314"/>
      <c r="R481" s="1314"/>
      <c r="S481" s="1314"/>
      <c r="T481" s="1314"/>
      <c r="U481" s="1314"/>
      <c r="V481" s="1314"/>
      <c r="W481" s="1314"/>
      <c r="X481" s="1314"/>
      <c r="Y481" s="1314"/>
      <c r="Z481" s="1314"/>
    </row>
    <row r="482" spans="1:26" ht="18.75">
      <c r="A482" s="1338"/>
      <c r="B482" s="1339"/>
      <c r="C482" s="1339"/>
      <c r="D482" s="1339"/>
      <c r="E482" s="1339" t="s">
        <v>208</v>
      </c>
      <c r="F482" s="1339"/>
      <c r="G482" s="1019"/>
      <c r="H482" s="1028"/>
      <c r="I482" s="892"/>
      <c r="J482" s="892"/>
      <c r="K482" s="893"/>
      <c r="L482" s="893"/>
      <c r="M482" s="893"/>
      <c r="N482" s="893"/>
      <c r="O482" s="893"/>
      <c r="P482" s="893"/>
      <c r="Q482" s="1314"/>
      <c r="R482" s="1314"/>
      <c r="S482" s="1314"/>
      <c r="T482" s="1314"/>
      <c r="U482" s="1314"/>
      <c r="V482" s="1314"/>
      <c r="W482" s="1314"/>
      <c r="X482" s="1314"/>
      <c r="Y482" s="1314"/>
      <c r="Z482" s="1314"/>
    </row>
    <row r="483" spans="1:26" ht="18.75">
      <c r="A483" s="1338"/>
      <c r="B483" s="1339"/>
      <c r="C483" s="1339"/>
      <c r="D483" s="1339"/>
      <c r="E483" s="1339"/>
      <c r="F483" s="1339" t="s">
        <v>209</v>
      </c>
      <c r="G483" s="1019"/>
      <c r="H483" s="621" t="s">
        <v>46</v>
      </c>
      <c r="I483" s="892">
        <f ca="1">IFERROR(__xludf.DUMMYFUNCTION("IMPORTRANGE(""https://docs.google.com/spreadsheets/d/1QqKyyYR6Q21VydFLVH3TRQUabQu_ym0Zz7PgGX0-kHA/edit?usp=sharing"",""แผน!FY51"")"),1170)</f>
        <v>1170</v>
      </c>
      <c r="J483" s="1024">
        <v>1170</v>
      </c>
      <c r="K483" s="893">
        <f ca="1">IF(I483&gt;0,J483*100/I483,0)</f>
        <v>100</v>
      </c>
      <c r="L483" s="893"/>
      <c r="M483" s="893"/>
      <c r="N483" s="893"/>
      <c r="O483" s="893"/>
      <c r="P483" s="893"/>
      <c r="Q483" s="1314"/>
      <c r="R483" s="1314"/>
      <c r="S483" s="1314"/>
      <c r="T483" s="1314"/>
      <c r="U483" s="1314"/>
      <c r="V483" s="1314"/>
      <c r="W483" s="1314"/>
      <c r="X483" s="1314"/>
      <c r="Y483" s="1314"/>
      <c r="Z483" s="1314"/>
    </row>
    <row r="484" spans="1:26" ht="18.75">
      <c r="A484" s="1338"/>
      <c r="B484" s="1339"/>
      <c r="C484" s="1339"/>
      <c r="D484" s="1339"/>
      <c r="E484" s="1339"/>
      <c r="F484" s="1339" t="s">
        <v>210</v>
      </c>
      <c r="G484" s="1019"/>
      <c r="H484" s="621" t="s">
        <v>35</v>
      </c>
      <c r="I484" s="892"/>
      <c r="J484" s="1024">
        <v>117</v>
      </c>
      <c r="K484" s="893"/>
      <c r="L484" s="893"/>
      <c r="M484" s="893"/>
      <c r="N484" s="893"/>
      <c r="O484" s="893"/>
      <c r="P484" s="893"/>
      <c r="Q484" s="1314"/>
      <c r="R484" s="1314"/>
      <c r="S484" s="1314"/>
      <c r="T484" s="1314"/>
      <c r="U484" s="1314"/>
      <c r="V484" s="1314"/>
      <c r="W484" s="1314"/>
      <c r="X484" s="1314"/>
      <c r="Y484" s="1314"/>
      <c r="Z484" s="1314"/>
    </row>
    <row r="485" spans="1:26" ht="18.75">
      <c r="A485" s="1338"/>
      <c r="B485" s="1339"/>
      <c r="C485" s="1339"/>
      <c r="D485" s="1339"/>
      <c r="E485" s="1339"/>
      <c r="F485" s="1339" t="s">
        <v>211</v>
      </c>
      <c r="G485" s="1019"/>
      <c r="H485" s="621" t="s">
        <v>35</v>
      </c>
      <c r="I485" s="892">
        <f ca="1">IFERROR(__xludf.DUMMYFUNCTION("IMPORTRANGE(""https://docs.google.com/spreadsheets/d/1QqKyyYR6Q21VydFLVH3TRQUabQu_ym0Zz7PgGX0-kHA/edit?usp=sharing"",""แผน!FZ51"")"),117)</f>
        <v>117</v>
      </c>
      <c r="J485" s="1024">
        <v>117</v>
      </c>
      <c r="K485" s="893">
        <f ca="1">IF(I485&gt;0,J485*100/I485,0)</f>
        <v>100</v>
      </c>
      <c r="L485" s="893"/>
      <c r="M485" s="893"/>
      <c r="N485" s="893"/>
      <c r="O485" s="893"/>
      <c r="P485" s="893"/>
      <c r="Q485" s="1314"/>
      <c r="R485" s="1314"/>
      <c r="S485" s="1314"/>
      <c r="T485" s="1314"/>
      <c r="U485" s="1314"/>
      <c r="V485" s="1314"/>
      <c r="W485" s="1314"/>
      <c r="X485" s="1314"/>
      <c r="Y485" s="1314"/>
      <c r="Z485" s="1314"/>
    </row>
    <row r="486" spans="1:26" ht="18.75">
      <c r="A486" s="1338"/>
      <c r="B486" s="1339"/>
      <c r="C486" s="1339"/>
      <c r="D486" s="1339"/>
      <c r="E486" s="1339" t="s">
        <v>62</v>
      </c>
      <c r="F486" s="1339"/>
      <c r="G486" s="1019"/>
      <c r="H486" s="621"/>
      <c r="I486" s="892"/>
      <c r="J486" s="892"/>
      <c r="K486" s="893"/>
      <c r="L486" s="893"/>
      <c r="M486" s="893"/>
      <c r="N486" s="893"/>
      <c r="O486" s="893"/>
      <c r="P486" s="893"/>
      <c r="Q486" s="1314"/>
      <c r="R486" s="1314"/>
      <c r="S486" s="1314"/>
      <c r="T486" s="1314"/>
      <c r="U486" s="1314"/>
      <c r="V486" s="1314"/>
      <c r="W486" s="1314"/>
      <c r="X486" s="1314"/>
      <c r="Y486" s="1314"/>
      <c r="Z486" s="1314"/>
    </row>
    <row r="487" spans="1:26" ht="18.75">
      <c r="A487" s="1338"/>
      <c r="B487" s="1339"/>
      <c r="C487" s="1339"/>
      <c r="D487" s="1339"/>
      <c r="E487" s="1339"/>
      <c r="F487" s="1339" t="s">
        <v>209</v>
      </c>
      <c r="G487" s="1019"/>
      <c r="H487" s="621" t="s">
        <v>46</v>
      </c>
      <c r="I487" s="892">
        <f ca="1">IFERROR(__xludf.DUMMYFUNCTION("IMPORTRANGE(""https://docs.google.com/spreadsheets/d/1QqKyyYR6Q21VydFLVH3TRQUabQu_ym0Zz7PgGX0-kHA/edit?usp=sharing"",""แผน!GA51"")"),130)</f>
        <v>130</v>
      </c>
      <c r="J487" s="1024">
        <v>130</v>
      </c>
      <c r="K487" s="893">
        <f ca="1">IF(I487&gt;0,J487*100/I487,0)</f>
        <v>100</v>
      </c>
      <c r="L487" s="893"/>
      <c r="M487" s="893"/>
      <c r="N487" s="893"/>
      <c r="O487" s="893"/>
      <c r="P487" s="893"/>
      <c r="Q487" s="1314"/>
      <c r="R487" s="1314"/>
      <c r="S487" s="1314"/>
      <c r="T487" s="1314"/>
      <c r="U487" s="1314"/>
      <c r="V487" s="1314"/>
      <c r="W487" s="1314"/>
      <c r="X487" s="1314"/>
      <c r="Y487" s="1314"/>
      <c r="Z487" s="1314"/>
    </row>
    <row r="488" spans="1:26" ht="18.75">
      <c r="A488" s="1338"/>
      <c r="B488" s="1339"/>
      <c r="C488" s="1339"/>
      <c r="D488" s="1339"/>
      <c r="E488" s="1339"/>
      <c r="F488" s="1339" t="s">
        <v>212</v>
      </c>
      <c r="G488" s="1019"/>
      <c r="H488" s="621" t="s">
        <v>35</v>
      </c>
      <c r="I488" s="892"/>
      <c r="J488" s="1024">
        <v>13</v>
      </c>
      <c r="K488" s="893"/>
      <c r="L488" s="893"/>
      <c r="M488" s="893"/>
      <c r="N488" s="893"/>
      <c r="O488" s="893"/>
      <c r="P488" s="893"/>
      <c r="Q488" s="1314"/>
      <c r="R488" s="1314"/>
      <c r="S488" s="1314"/>
      <c r="T488" s="1314"/>
      <c r="U488" s="1314"/>
      <c r="V488" s="1314"/>
      <c r="W488" s="1314"/>
      <c r="X488" s="1314"/>
      <c r="Y488" s="1314"/>
      <c r="Z488" s="1314"/>
    </row>
    <row r="489" spans="1:26" ht="18.75">
      <c r="A489" s="1338"/>
      <c r="B489" s="1339"/>
      <c r="C489" s="1339"/>
      <c r="D489" s="1339"/>
      <c r="E489" s="1339"/>
      <c r="F489" s="1339" t="s">
        <v>213</v>
      </c>
      <c r="G489" s="1019"/>
      <c r="H489" s="621" t="s">
        <v>35</v>
      </c>
      <c r="I489" s="892">
        <f ca="1">IFERROR(__xludf.DUMMYFUNCTION("IMPORTRANGE(""https://docs.google.com/spreadsheets/d/1QqKyyYR6Q21VydFLVH3TRQUabQu_ym0Zz7PgGX0-kHA/edit?usp=sharing"",""แผน!GB51"")"),13)</f>
        <v>13</v>
      </c>
      <c r="J489" s="1024">
        <v>13</v>
      </c>
      <c r="K489" s="893">
        <f ca="1">IF(I489&gt;0,J489*100/I489,0)</f>
        <v>100</v>
      </c>
      <c r="L489" s="893"/>
      <c r="M489" s="893"/>
      <c r="N489" s="893"/>
      <c r="O489" s="893"/>
      <c r="P489" s="893"/>
      <c r="Q489" s="1314"/>
      <c r="R489" s="1314"/>
      <c r="S489" s="1314"/>
      <c r="T489" s="1314"/>
      <c r="U489" s="1314"/>
      <c r="V489" s="1314"/>
      <c r="W489" s="1314"/>
      <c r="X489" s="1314"/>
      <c r="Y489" s="1314"/>
      <c r="Z489" s="1314"/>
    </row>
    <row r="490" spans="1:26" ht="18.75">
      <c r="A490" s="1338"/>
      <c r="B490" s="1339"/>
      <c r="C490" s="1339"/>
      <c r="D490" s="1339"/>
      <c r="E490" s="1339" t="s">
        <v>63</v>
      </c>
      <c r="F490" s="1026"/>
      <c r="G490" s="1019"/>
      <c r="H490" s="621"/>
      <c r="I490" s="892"/>
      <c r="J490" s="892"/>
      <c r="K490" s="893"/>
      <c r="L490" s="893"/>
      <c r="M490" s="893"/>
      <c r="N490" s="893"/>
      <c r="O490" s="893"/>
      <c r="P490" s="893"/>
      <c r="Q490" s="1314"/>
      <c r="R490" s="1314"/>
      <c r="S490" s="1314"/>
      <c r="T490" s="1314"/>
      <c r="U490" s="1314"/>
      <c r="V490" s="1314"/>
      <c r="W490" s="1314"/>
      <c r="X490" s="1314"/>
      <c r="Y490" s="1314"/>
      <c r="Z490" s="1314"/>
    </row>
    <row r="491" spans="1:26" ht="18.75">
      <c r="A491" s="1338"/>
      <c r="B491" s="1339"/>
      <c r="C491" s="1339"/>
      <c r="D491" s="1339"/>
      <c r="E491" s="1339"/>
      <c r="F491" s="1339" t="s">
        <v>214</v>
      </c>
      <c r="G491" s="1019"/>
      <c r="H491" s="621" t="s">
        <v>35</v>
      </c>
      <c r="I491" s="892"/>
      <c r="J491" s="1024">
        <v>1</v>
      </c>
      <c r="K491" s="893"/>
      <c r="L491" s="893"/>
      <c r="M491" s="893"/>
      <c r="N491" s="893"/>
      <c r="O491" s="893"/>
      <c r="P491" s="893"/>
      <c r="Q491" s="1314"/>
      <c r="R491" s="1314"/>
      <c r="S491" s="1314"/>
      <c r="T491" s="1314"/>
      <c r="U491" s="1314"/>
      <c r="V491" s="1314"/>
      <c r="W491" s="1314"/>
      <c r="X491" s="1314"/>
      <c r="Y491" s="1314"/>
      <c r="Z491" s="1314"/>
    </row>
    <row r="492" spans="1:26" ht="18.75">
      <c r="A492" s="1338"/>
      <c r="B492" s="1339"/>
      <c r="C492" s="1339"/>
      <c r="D492" s="1339"/>
      <c r="E492" s="1339"/>
      <c r="F492" s="1339" t="s">
        <v>215</v>
      </c>
      <c r="G492" s="1019"/>
      <c r="H492" s="621" t="s">
        <v>35</v>
      </c>
      <c r="I492" s="892">
        <f ca="1">IFERROR(__xludf.DUMMYFUNCTION("IMPORTRANGE(""https://docs.google.com/spreadsheets/d/1QqKyyYR6Q21VydFLVH3TRQUabQu_ym0Zz7PgGX0-kHA/edit?usp=sharing"",""แผน!GC51"")"),1)</f>
        <v>1</v>
      </c>
      <c r="J492" s="1024">
        <v>1</v>
      </c>
      <c r="K492" s="893">
        <f ca="1">IF(I492&gt;0,J492*100/I492,0)</f>
        <v>100</v>
      </c>
      <c r="L492" s="893"/>
      <c r="M492" s="893"/>
      <c r="N492" s="893"/>
      <c r="O492" s="893"/>
      <c r="P492" s="893"/>
      <c r="Q492" s="1314"/>
      <c r="R492" s="1314"/>
      <c r="S492" s="1314"/>
      <c r="T492" s="1314"/>
      <c r="U492" s="1314"/>
      <c r="V492" s="1314"/>
      <c r="W492" s="1314"/>
      <c r="X492" s="1314"/>
      <c r="Y492" s="1314"/>
      <c r="Z492" s="1314"/>
    </row>
    <row r="493" spans="1:26" ht="19.5">
      <c r="A493" s="1338"/>
      <c r="B493" s="1339"/>
      <c r="C493" s="1339"/>
      <c r="D493" s="1348" t="s">
        <v>59</v>
      </c>
      <c r="E493" s="1339"/>
      <c r="F493" s="1026"/>
      <c r="G493" s="1019"/>
      <c r="H493" s="1028"/>
      <c r="I493" s="892"/>
      <c r="J493" s="892"/>
      <c r="K493" s="893"/>
      <c r="L493" s="893"/>
      <c r="M493" s="893"/>
      <c r="N493" s="893"/>
      <c r="O493" s="893"/>
      <c r="P493" s="893"/>
      <c r="Q493" s="1314"/>
      <c r="R493" s="1314"/>
      <c r="S493" s="1314"/>
      <c r="T493" s="1314"/>
      <c r="U493" s="1314"/>
      <c r="V493" s="1314"/>
      <c r="W493" s="1314"/>
      <c r="X493" s="1314"/>
      <c r="Y493" s="1314"/>
      <c r="Z493" s="1314"/>
    </row>
    <row r="494" spans="1:26" ht="18.75">
      <c r="A494" s="1338"/>
      <c r="B494" s="1339"/>
      <c r="C494" s="1339"/>
      <c r="D494" s="1339"/>
      <c r="E494" s="1339" t="s">
        <v>208</v>
      </c>
      <c r="F494" s="1026"/>
      <c r="G494" s="1019"/>
      <c r="H494" s="1028"/>
      <c r="I494" s="892"/>
      <c r="J494" s="892"/>
      <c r="K494" s="893"/>
      <c r="L494" s="893"/>
      <c r="M494" s="893"/>
      <c r="N494" s="893"/>
      <c r="O494" s="893"/>
      <c r="P494" s="893"/>
      <c r="Q494" s="1314"/>
      <c r="R494" s="1314"/>
      <c r="S494" s="1314"/>
      <c r="T494" s="1314"/>
      <c r="U494" s="1314"/>
      <c r="V494" s="1314"/>
      <c r="W494" s="1314"/>
      <c r="X494" s="1314"/>
      <c r="Y494" s="1314"/>
      <c r="Z494" s="1314"/>
    </row>
    <row r="495" spans="1:26" ht="18.75">
      <c r="A495" s="1338"/>
      <c r="B495" s="1339"/>
      <c r="C495" s="1339"/>
      <c r="D495" s="1339"/>
      <c r="E495" s="1339"/>
      <c r="F495" s="1026" t="s">
        <v>216</v>
      </c>
      <c r="G495" s="1019"/>
      <c r="H495" s="621" t="s">
        <v>46</v>
      </c>
      <c r="I495" s="892">
        <f ca="1">IFERROR(__xludf.DUMMYFUNCTION("IMPORTRANGE(""https://docs.google.com/spreadsheets/d/1QqKyyYR6Q21VydFLVH3TRQUabQu_ym0Zz7PgGX0-kHA/edit?usp=sharing"",""แผน!FY51"")"),1170)</f>
        <v>1170</v>
      </c>
      <c r="J495" s="1024">
        <v>0</v>
      </c>
      <c r="K495" s="893">
        <f ca="1">IF(I495&gt;0,J495*100/I495,0)</f>
        <v>0</v>
      </c>
      <c r="L495" s="893"/>
      <c r="M495" s="893"/>
      <c r="N495" s="893"/>
      <c r="O495" s="893"/>
      <c r="P495" s="893"/>
      <c r="Q495" s="1314"/>
      <c r="R495" s="1314"/>
      <c r="S495" s="1314"/>
      <c r="T495" s="1314"/>
      <c r="U495" s="1314"/>
      <c r="V495" s="1314"/>
      <c r="W495" s="1314"/>
      <c r="X495" s="1314"/>
      <c r="Y495" s="1314"/>
      <c r="Z495" s="1314"/>
    </row>
    <row r="496" spans="1:26" ht="18.75">
      <c r="A496" s="1338"/>
      <c r="B496" s="1339"/>
      <c r="C496" s="1339"/>
      <c r="D496" s="1339"/>
      <c r="E496" s="1339"/>
      <c r="F496" s="1026" t="s">
        <v>217</v>
      </c>
      <c r="G496" s="1019"/>
      <c r="H496" s="621" t="s">
        <v>46</v>
      </c>
      <c r="I496" s="892"/>
      <c r="J496" s="1024">
        <v>0</v>
      </c>
      <c r="K496" s="893"/>
      <c r="L496" s="893"/>
      <c r="M496" s="893"/>
      <c r="N496" s="893"/>
      <c r="O496" s="893"/>
      <c r="P496" s="893"/>
      <c r="Q496" s="1314"/>
      <c r="R496" s="1314"/>
      <c r="S496" s="1314"/>
      <c r="T496" s="1314"/>
      <c r="U496" s="1314"/>
      <c r="V496" s="1314"/>
      <c r="W496" s="1314"/>
      <c r="X496" s="1314"/>
      <c r="Y496" s="1314"/>
      <c r="Z496" s="1314"/>
    </row>
    <row r="497" spans="1:26" ht="18.75">
      <c r="A497" s="1338"/>
      <c r="B497" s="1339"/>
      <c r="C497" s="1339"/>
      <c r="D497" s="1339"/>
      <c r="E497" s="1339" t="s">
        <v>62</v>
      </c>
      <c r="F497" s="1026"/>
      <c r="G497" s="1019"/>
      <c r="H497" s="1028"/>
      <c r="I497" s="892"/>
      <c r="J497" s="892"/>
      <c r="K497" s="893"/>
      <c r="L497" s="893"/>
      <c r="M497" s="893"/>
      <c r="N497" s="893"/>
      <c r="O497" s="893"/>
      <c r="P497" s="893"/>
      <c r="Q497" s="1314"/>
      <c r="R497" s="1314"/>
      <c r="S497" s="1314"/>
      <c r="T497" s="1314"/>
      <c r="U497" s="1314"/>
      <c r="V497" s="1314"/>
      <c r="W497" s="1314"/>
      <c r="X497" s="1314"/>
      <c r="Y497" s="1314"/>
      <c r="Z497" s="1314"/>
    </row>
    <row r="498" spans="1:26" ht="18.75">
      <c r="A498" s="1338"/>
      <c r="B498" s="1339"/>
      <c r="C498" s="1339"/>
      <c r="D498" s="1339"/>
      <c r="E498" s="1026"/>
      <c r="F498" s="1026" t="s">
        <v>218</v>
      </c>
      <c r="G498" s="1019"/>
      <c r="H498" s="621" t="s">
        <v>46</v>
      </c>
      <c r="I498" s="892">
        <f ca="1">IFERROR(__xludf.DUMMYFUNCTION("IMPORTRANGE(""https://docs.google.com/spreadsheets/d/1QqKyyYR6Q21VydFLVH3TRQUabQu_ym0Zz7PgGX0-kHA/edit?usp=sharing"",""แผน!GA51"")"),130)</f>
        <v>130</v>
      </c>
      <c r="J498" s="1024">
        <v>0</v>
      </c>
      <c r="K498" s="893">
        <f ca="1">IF(I498&gt;0,J498*100/I498,0)</f>
        <v>0</v>
      </c>
      <c r="L498" s="893"/>
      <c r="M498" s="893"/>
      <c r="N498" s="893"/>
      <c r="O498" s="893"/>
      <c r="P498" s="893"/>
      <c r="Q498" s="1314"/>
      <c r="R498" s="1314"/>
      <c r="S498" s="1314"/>
      <c r="T498" s="1314"/>
      <c r="U498" s="1314"/>
      <c r="V498" s="1314"/>
      <c r="W498" s="1314"/>
      <c r="X498" s="1314"/>
      <c r="Y498" s="1314"/>
      <c r="Z498" s="1314"/>
    </row>
    <row r="499" spans="1:26" ht="18.75">
      <c r="A499" s="1338"/>
      <c r="B499" s="1339"/>
      <c r="C499" s="1339"/>
      <c r="D499" s="1339"/>
      <c r="E499" s="1026"/>
      <c r="F499" s="1026" t="s">
        <v>219</v>
      </c>
      <c r="G499" s="1019"/>
      <c r="H499" s="621" t="s">
        <v>46</v>
      </c>
      <c r="I499" s="892"/>
      <c r="J499" s="1024">
        <v>0</v>
      </c>
      <c r="K499" s="893"/>
      <c r="L499" s="893"/>
      <c r="M499" s="893"/>
      <c r="N499" s="893"/>
      <c r="O499" s="893"/>
      <c r="P499" s="893"/>
      <c r="Q499" s="1314"/>
      <c r="R499" s="1314"/>
      <c r="S499" s="1314"/>
      <c r="T499" s="1314"/>
      <c r="U499" s="1314"/>
      <c r="V499" s="1314"/>
      <c r="W499" s="1314"/>
      <c r="X499" s="1314"/>
      <c r="Y499" s="1314"/>
      <c r="Z499" s="1314"/>
    </row>
    <row r="500" spans="1:26" ht="19.5" hidden="1">
      <c r="A500" s="625">
        <v>4</v>
      </c>
      <c r="B500" s="1349" t="s">
        <v>220</v>
      </c>
      <c r="C500" s="1350"/>
      <c r="D500" s="1351"/>
      <c r="E500" s="1351"/>
      <c r="F500" s="1351"/>
      <c r="G500" s="1352"/>
      <c r="H500" s="630" t="s">
        <v>109</v>
      </c>
      <c r="I500" s="1353"/>
      <c r="J500" s="1353">
        <f t="shared" ref="J500:J501" si="214">J516</f>
        <v>0</v>
      </c>
      <c r="K500" s="1354">
        <f t="shared" ref="K500:K501" si="215">IF(I500&gt;0,J500*100/I500,0)</f>
        <v>0</v>
      </c>
      <c r="L500" s="1355"/>
      <c r="M500" s="1355"/>
      <c r="N500" s="1355"/>
      <c r="O500" s="1355"/>
      <c r="P500" s="1355"/>
      <c r="Q500" s="1335"/>
      <c r="R500" s="1335"/>
      <c r="S500" s="1335"/>
      <c r="T500" s="1335"/>
      <c r="U500" s="1335"/>
      <c r="V500" s="1335"/>
      <c r="W500" s="1335"/>
      <c r="X500" s="1335"/>
      <c r="Y500" s="1335"/>
      <c r="Z500" s="1335"/>
    </row>
    <row r="501" spans="1:26" ht="19.5" hidden="1">
      <c r="A501" s="1356"/>
      <c r="B501" s="1357" t="s">
        <v>221</v>
      </c>
      <c r="C501" s="1357"/>
      <c r="D501" s="1358"/>
      <c r="E501" s="1358"/>
      <c r="F501" s="1358"/>
      <c r="G501" s="1359"/>
      <c r="H501" s="639" t="s">
        <v>35</v>
      </c>
      <c r="I501" s="1360"/>
      <c r="J501" s="1360">
        <f t="shared" si="214"/>
        <v>0</v>
      </c>
      <c r="K501" s="1361">
        <f t="shared" si="215"/>
        <v>0</v>
      </c>
      <c r="L501" s="1362"/>
      <c r="M501" s="1362"/>
      <c r="N501" s="1362"/>
      <c r="O501" s="1362"/>
      <c r="P501" s="1362"/>
      <c r="Q501" s="1335"/>
      <c r="R501" s="1335"/>
      <c r="S501" s="1335"/>
      <c r="T501" s="1335"/>
      <c r="U501" s="1335"/>
      <c r="V501" s="1335"/>
      <c r="W501" s="1335"/>
      <c r="X501" s="1335"/>
      <c r="Y501" s="1335"/>
      <c r="Z501" s="1335"/>
    </row>
    <row r="502" spans="1:26" ht="19.5" hidden="1">
      <c r="A502" s="1331"/>
      <c r="B502" s="1332"/>
      <c r="C502" s="1332" t="s">
        <v>16</v>
      </c>
      <c r="D502" s="1363" t="s">
        <v>17</v>
      </c>
      <c r="E502" s="853"/>
      <c r="F502" s="853"/>
      <c r="G502" s="1334"/>
      <c r="H502" s="643" t="s">
        <v>12</v>
      </c>
      <c r="I502" s="898"/>
      <c r="J502" s="898"/>
      <c r="K502" s="899"/>
      <c r="L502" s="1364">
        <f t="shared" ref="L502:N502" si="216">L503+L504</f>
        <v>0</v>
      </c>
      <c r="M502" s="1364">
        <f t="shared" si="216"/>
        <v>0</v>
      </c>
      <c r="N502" s="1364">
        <f t="shared" si="216"/>
        <v>0</v>
      </c>
      <c r="O502" s="1364">
        <f t="shared" ref="O502:O507" si="217">IF(L502&gt;0,N502*100/L502,0)</f>
        <v>0</v>
      </c>
      <c r="P502" s="1364">
        <f t="shared" ref="P502:P507" si="218">IF(M502&gt;0,N502*100/M502,0)</f>
        <v>0</v>
      </c>
      <c r="Q502" s="1335"/>
      <c r="R502" s="1335"/>
      <c r="S502" s="1335"/>
      <c r="T502" s="1335"/>
      <c r="U502" s="1335"/>
      <c r="V502" s="1335"/>
      <c r="W502" s="1335"/>
      <c r="X502" s="1335"/>
      <c r="Y502" s="1335"/>
      <c r="Z502" s="1335"/>
    </row>
    <row r="503" spans="1:26" ht="18.75" hidden="1">
      <c r="A503" s="1331"/>
      <c r="B503" s="1332"/>
      <c r="C503" s="1332"/>
      <c r="D503" s="1333"/>
      <c r="E503" s="1332" t="s">
        <v>185</v>
      </c>
      <c r="F503" s="1332"/>
      <c r="G503" s="1334"/>
      <c r="H503" s="165" t="s">
        <v>12</v>
      </c>
      <c r="I503" s="898"/>
      <c r="J503" s="898"/>
      <c r="K503" s="899"/>
      <c r="L503" s="899">
        <f t="shared" ref="L503:N504" si="219">L506+L513</f>
        <v>0</v>
      </c>
      <c r="M503" s="899">
        <f t="shared" si="219"/>
        <v>0</v>
      </c>
      <c r="N503" s="899">
        <f t="shared" si="219"/>
        <v>0</v>
      </c>
      <c r="O503" s="899">
        <f t="shared" si="217"/>
        <v>0</v>
      </c>
      <c r="P503" s="899">
        <f t="shared" si="218"/>
        <v>0</v>
      </c>
      <c r="Q503" s="1335"/>
      <c r="R503" s="1335"/>
      <c r="S503" s="1335"/>
      <c r="T503" s="1335"/>
      <c r="U503" s="1335"/>
      <c r="V503" s="1335"/>
      <c r="W503" s="1335"/>
      <c r="X503" s="1335"/>
      <c r="Y503" s="1335"/>
      <c r="Z503" s="1335"/>
    </row>
    <row r="504" spans="1:26" ht="18.75" hidden="1">
      <c r="A504" s="1331"/>
      <c r="B504" s="1336"/>
      <c r="C504" s="1332"/>
      <c r="D504" s="1333"/>
      <c r="E504" s="1332" t="s">
        <v>186</v>
      </c>
      <c r="F504" s="1332"/>
      <c r="G504" s="1334"/>
      <c r="H504" s="165" t="s">
        <v>12</v>
      </c>
      <c r="I504" s="898"/>
      <c r="J504" s="898"/>
      <c r="K504" s="899"/>
      <c r="L504" s="899">
        <f t="shared" si="219"/>
        <v>0</v>
      </c>
      <c r="M504" s="899">
        <f t="shared" si="219"/>
        <v>0</v>
      </c>
      <c r="N504" s="899">
        <f t="shared" si="219"/>
        <v>0</v>
      </c>
      <c r="O504" s="899">
        <f t="shared" si="217"/>
        <v>0</v>
      </c>
      <c r="P504" s="899">
        <f t="shared" si="218"/>
        <v>0</v>
      </c>
      <c r="Q504" s="1335"/>
      <c r="R504" s="1335"/>
      <c r="S504" s="1335"/>
      <c r="T504" s="1335"/>
      <c r="U504" s="1335"/>
      <c r="V504" s="1335"/>
      <c r="W504" s="1335"/>
      <c r="X504" s="1335"/>
      <c r="Y504" s="1335"/>
      <c r="Z504" s="1335"/>
    </row>
    <row r="505" spans="1:26" ht="18.75" hidden="1">
      <c r="A505" s="1331"/>
      <c r="B505" s="1336"/>
      <c r="C505" s="1332"/>
      <c r="D505" s="1365" t="s">
        <v>20</v>
      </c>
      <c r="E505" s="1332"/>
      <c r="F505" s="1332"/>
      <c r="G505" s="1334"/>
      <c r="H505" s="165" t="s">
        <v>12</v>
      </c>
      <c r="I505" s="1012"/>
      <c r="J505" s="1012"/>
      <c r="K505" s="1013"/>
      <c r="L505" s="899">
        <f t="shared" ref="L505:N505" si="220">L506+L507</f>
        <v>0</v>
      </c>
      <c r="M505" s="899">
        <f t="shared" si="220"/>
        <v>0</v>
      </c>
      <c r="N505" s="899">
        <f t="shared" si="220"/>
        <v>0</v>
      </c>
      <c r="O505" s="899">
        <f t="shared" si="217"/>
        <v>0</v>
      </c>
      <c r="P505" s="899">
        <f t="shared" si="218"/>
        <v>0</v>
      </c>
      <c r="Q505" s="1335"/>
      <c r="R505" s="1335"/>
      <c r="S505" s="1335"/>
      <c r="T505" s="1335"/>
      <c r="U505" s="1335"/>
      <c r="V505" s="1335"/>
      <c r="W505" s="1335"/>
      <c r="X505" s="1335"/>
      <c r="Y505" s="1335"/>
      <c r="Z505" s="1335"/>
    </row>
    <row r="506" spans="1:26" ht="18.75" hidden="1">
      <c r="A506" s="1331"/>
      <c r="B506" s="1336"/>
      <c r="C506" s="1332"/>
      <c r="D506" s="1333"/>
      <c r="E506" s="1332" t="s">
        <v>185</v>
      </c>
      <c r="F506" s="1332"/>
      <c r="G506" s="1334"/>
      <c r="H506" s="165" t="s">
        <v>12</v>
      </c>
      <c r="I506" s="898"/>
      <c r="J506" s="898"/>
      <c r="K506" s="899"/>
      <c r="L506" s="899">
        <v>0</v>
      </c>
      <c r="M506" s="899">
        <v>0</v>
      </c>
      <c r="N506" s="899">
        <v>0</v>
      </c>
      <c r="O506" s="899">
        <f t="shared" si="217"/>
        <v>0</v>
      </c>
      <c r="P506" s="899">
        <f t="shared" si="218"/>
        <v>0</v>
      </c>
      <c r="Q506" s="1335"/>
      <c r="R506" s="1335"/>
      <c r="S506" s="1335"/>
      <c r="T506" s="1335"/>
      <c r="U506" s="1335"/>
      <c r="V506" s="1335"/>
      <c r="W506" s="1335"/>
      <c r="X506" s="1335"/>
      <c r="Y506" s="1335"/>
      <c r="Z506" s="1335"/>
    </row>
    <row r="507" spans="1:26" ht="18.75" hidden="1">
      <c r="A507" s="1331"/>
      <c r="B507" s="1336"/>
      <c r="C507" s="1332"/>
      <c r="D507" s="1333"/>
      <c r="E507" s="1332" t="s">
        <v>186</v>
      </c>
      <c r="F507" s="1332"/>
      <c r="G507" s="1334"/>
      <c r="H507" s="165" t="s">
        <v>12</v>
      </c>
      <c r="I507" s="898"/>
      <c r="J507" s="898"/>
      <c r="K507" s="899"/>
      <c r="L507" s="899">
        <v>0</v>
      </c>
      <c r="M507" s="899">
        <v>0</v>
      </c>
      <c r="N507" s="899">
        <f>N508+N509+N510+N511</f>
        <v>0</v>
      </c>
      <c r="O507" s="899">
        <f t="shared" si="217"/>
        <v>0</v>
      </c>
      <c r="P507" s="899">
        <f t="shared" si="218"/>
        <v>0</v>
      </c>
      <c r="Q507" s="1335"/>
      <c r="R507" s="1335"/>
      <c r="S507" s="1335"/>
      <c r="T507" s="1335"/>
      <c r="U507" s="1335"/>
      <c r="V507" s="1335"/>
      <c r="W507" s="1335"/>
      <c r="X507" s="1335"/>
      <c r="Y507" s="1335"/>
      <c r="Z507" s="1335"/>
    </row>
    <row r="508" spans="1:26" ht="18.75" hidden="1">
      <c r="A508" s="1366"/>
      <c r="B508" s="1336"/>
      <c r="C508" s="1332"/>
      <c r="D508" s="1332"/>
      <c r="E508" s="1332"/>
      <c r="F508" s="1332" t="s">
        <v>187</v>
      </c>
      <c r="G508" s="1334"/>
      <c r="H508" s="165" t="s">
        <v>12</v>
      </c>
      <c r="I508" s="898"/>
      <c r="J508" s="898"/>
      <c r="K508" s="899"/>
      <c r="L508" s="899"/>
      <c r="M508" s="899"/>
      <c r="N508" s="899">
        <v>0</v>
      </c>
      <c r="O508" s="899"/>
      <c r="P508" s="899"/>
      <c r="Q508" s="1335"/>
      <c r="R508" s="1335"/>
      <c r="S508" s="1335"/>
      <c r="T508" s="1335"/>
      <c r="U508" s="1335"/>
      <c r="V508" s="1335"/>
      <c r="W508" s="1335"/>
      <c r="X508" s="1335"/>
      <c r="Y508" s="1335"/>
      <c r="Z508" s="1335"/>
    </row>
    <row r="509" spans="1:26" ht="18.75" hidden="1">
      <c r="A509" s="1366"/>
      <c r="B509" s="1336"/>
      <c r="C509" s="1332"/>
      <c r="D509" s="1332"/>
      <c r="E509" s="1332"/>
      <c r="F509" s="1332" t="s">
        <v>188</v>
      </c>
      <c r="G509" s="1334"/>
      <c r="H509" s="165" t="s">
        <v>12</v>
      </c>
      <c r="I509" s="898"/>
      <c r="J509" s="898"/>
      <c r="K509" s="899"/>
      <c r="L509" s="899"/>
      <c r="M509" s="899"/>
      <c r="N509" s="899">
        <v>0</v>
      </c>
      <c r="O509" s="899"/>
      <c r="P509" s="899"/>
      <c r="Q509" s="1335"/>
      <c r="R509" s="1335"/>
      <c r="S509" s="1335"/>
      <c r="T509" s="1335"/>
      <c r="U509" s="1335"/>
      <c r="V509" s="1335"/>
      <c r="W509" s="1335"/>
      <c r="X509" s="1335"/>
      <c r="Y509" s="1335"/>
      <c r="Z509" s="1335"/>
    </row>
    <row r="510" spans="1:26" ht="18.75" hidden="1">
      <c r="A510" s="1366"/>
      <c r="B510" s="1336"/>
      <c r="C510" s="1336"/>
      <c r="D510" s="1336"/>
      <c r="E510" s="1332"/>
      <c r="F510" s="1332" t="s">
        <v>189</v>
      </c>
      <c r="G510" s="1334"/>
      <c r="H510" s="165" t="s">
        <v>12</v>
      </c>
      <c r="I510" s="898"/>
      <c r="J510" s="898"/>
      <c r="K510" s="899"/>
      <c r="L510" s="899"/>
      <c r="M510" s="899"/>
      <c r="N510" s="899">
        <v>0</v>
      </c>
      <c r="O510" s="899"/>
      <c r="P510" s="899"/>
      <c r="Q510" s="1335"/>
      <c r="R510" s="1335"/>
      <c r="S510" s="1335"/>
      <c r="T510" s="1335"/>
      <c r="U510" s="1335"/>
      <c r="V510" s="1335"/>
      <c r="W510" s="1335"/>
      <c r="X510" s="1335"/>
      <c r="Y510" s="1335"/>
      <c r="Z510" s="1335"/>
    </row>
    <row r="511" spans="1:26" ht="18.75" hidden="1">
      <c r="A511" s="1366"/>
      <c r="B511" s="1336"/>
      <c r="C511" s="1336"/>
      <c r="D511" s="1336"/>
      <c r="E511" s="1332"/>
      <c r="F511" s="1332" t="s">
        <v>190</v>
      </c>
      <c r="G511" s="1334"/>
      <c r="H511" s="165" t="s">
        <v>12</v>
      </c>
      <c r="I511" s="898"/>
      <c r="J511" s="898"/>
      <c r="K511" s="899"/>
      <c r="L511" s="899"/>
      <c r="M511" s="899"/>
      <c r="N511" s="899">
        <v>0</v>
      </c>
      <c r="O511" s="899"/>
      <c r="P511" s="899"/>
      <c r="Q511" s="1335"/>
      <c r="R511" s="1335"/>
      <c r="S511" s="1335"/>
      <c r="T511" s="1335"/>
      <c r="U511" s="1335"/>
      <c r="V511" s="1335"/>
      <c r="W511" s="1335"/>
      <c r="X511" s="1335"/>
      <c r="Y511" s="1335"/>
      <c r="Z511" s="1335"/>
    </row>
    <row r="512" spans="1:26" ht="18.75" hidden="1">
      <c r="A512" s="1331"/>
      <c r="B512" s="1336"/>
      <c r="C512" s="1336"/>
      <c r="D512" s="1365" t="s">
        <v>21</v>
      </c>
      <c r="E512" s="1336"/>
      <c r="F512" s="1332"/>
      <c r="G512" s="1334"/>
      <c r="H512" s="169" t="s">
        <v>12</v>
      </c>
      <c r="I512" s="1012"/>
      <c r="J512" s="1012"/>
      <c r="K512" s="1013"/>
      <c r="L512" s="899">
        <f t="shared" ref="L512:N512" si="221">L513+L514</f>
        <v>0</v>
      </c>
      <c r="M512" s="899">
        <f t="shared" si="221"/>
        <v>0</v>
      </c>
      <c r="N512" s="899">
        <f t="shared" si="221"/>
        <v>0</v>
      </c>
      <c r="O512" s="899">
        <f t="shared" ref="O512:O514" si="222">IF(L512&gt;0,N512*100/L512,0)</f>
        <v>0</v>
      </c>
      <c r="P512" s="899">
        <f t="shared" ref="P512:P514" si="223">IF(M512&gt;0,N512*100/M512,0)</f>
        <v>0</v>
      </c>
      <c r="Q512" s="1335"/>
      <c r="R512" s="1335"/>
      <c r="S512" s="1335"/>
      <c r="T512" s="1335"/>
      <c r="U512" s="1335"/>
      <c r="V512" s="1335"/>
      <c r="W512" s="1335"/>
      <c r="X512" s="1335"/>
      <c r="Y512" s="1335"/>
      <c r="Z512" s="1335"/>
    </row>
    <row r="513" spans="1:26" ht="18.75" hidden="1">
      <c r="A513" s="1331"/>
      <c r="B513" s="1336"/>
      <c r="C513" s="1336"/>
      <c r="D513" s="1336"/>
      <c r="E513" s="1336" t="s">
        <v>18</v>
      </c>
      <c r="F513" s="1332"/>
      <c r="G513" s="1334"/>
      <c r="H513" s="165" t="s">
        <v>12</v>
      </c>
      <c r="I513" s="1012"/>
      <c r="J513" s="1012"/>
      <c r="K513" s="1013"/>
      <c r="L513" s="899">
        <v>0</v>
      </c>
      <c r="M513" s="899">
        <v>0</v>
      </c>
      <c r="N513" s="899">
        <v>0</v>
      </c>
      <c r="O513" s="899">
        <f t="shared" si="222"/>
        <v>0</v>
      </c>
      <c r="P513" s="899">
        <f t="shared" si="223"/>
        <v>0</v>
      </c>
      <c r="Q513" s="1335"/>
      <c r="R513" s="1335"/>
      <c r="S513" s="1335"/>
      <c r="T513" s="1335"/>
      <c r="U513" s="1335"/>
      <c r="V513" s="1335"/>
      <c r="W513" s="1335"/>
      <c r="X513" s="1335"/>
      <c r="Y513" s="1335"/>
      <c r="Z513" s="1335"/>
    </row>
    <row r="514" spans="1:26" ht="18.75" hidden="1">
      <c r="A514" s="1331"/>
      <c r="B514" s="1336"/>
      <c r="C514" s="1336"/>
      <c r="D514" s="1332"/>
      <c r="E514" s="1336" t="s">
        <v>19</v>
      </c>
      <c r="F514" s="1332"/>
      <c r="G514" s="1334"/>
      <c r="H514" s="169" t="s">
        <v>12</v>
      </c>
      <c r="I514" s="1012"/>
      <c r="J514" s="1012"/>
      <c r="K514" s="1013"/>
      <c r="L514" s="899">
        <v>0</v>
      </c>
      <c r="M514" s="899">
        <v>0</v>
      </c>
      <c r="N514" s="899">
        <v>0</v>
      </c>
      <c r="O514" s="899">
        <f t="shared" si="222"/>
        <v>0</v>
      </c>
      <c r="P514" s="899">
        <f t="shared" si="223"/>
        <v>0</v>
      </c>
      <c r="Q514" s="1335"/>
      <c r="R514" s="1335"/>
      <c r="S514" s="1335"/>
      <c r="T514" s="1335"/>
      <c r="U514" s="1335"/>
      <c r="V514" s="1335"/>
      <c r="W514" s="1335"/>
      <c r="X514" s="1335"/>
      <c r="Y514" s="1335"/>
      <c r="Z514" s="1335"/>
    </row>
    <row r="515" spans="1:26" ht="19.5" hidden="1">
      <c r="A515" s="1344"/>
      <c r="B515" s="1345"/>
      <c r="C515" s="1336" t="s">
        <v>16</v>
      </c>
      <c r="D515" s="1367" t="s">
        <v>38</v>
      </c>
      <c r="E515" s="1368"/>
      <c r="F515" s="1368"/>
      <c r="G515" s="1369"/>
      <c r="H515" s="1124"/>
      <c r="I515" s="1012"/>
      <c r="J515" s="1012"/>
      <c r="K515" s="1013"/>
      <c r="L515" s="1013"/>
      <c r="M515" s="1013"/>
      <c r="N515" s="1013"/>
      <c r="O515" s="1013"/>
      <c r="P515" s="1013"/>
      <c r="Q515" s="1335"/>
      <c r="R515" s="1335"/>
      <c r="S515" s="1335"/>
      <c r="T515" s="1335"/>
      <c r="U515" s="1335"/>
      <c r="V515" s="1335"/>
      <c r="W515" s="1335"/>
      <c r="X515" s="1335"/>
      <c r="Y515" s="1335"/>
      <c r="Z515" s="1335"/>
    </row>
    <row r="516" spans="1:26" ht="18.75" hidden="1">
      <c r="A516" s="1344"/>
      <c r="B516" s="1345"/>
      <c r="C516" s="1345"/>
      <c r="D516" s="1345" t="s">
        <v>222</v>
      </c>
      <c r="E516" s="1333"/>
      <c r="F516" s="1333"/>
      <c r="G516" s="1124"/>
      <c r="H516" s="650" t="s">
        <v>109</v>
      </c>
      <c r="I516" s="898"/>
      <c r="J516" s="898">
        <v>0</v>
      </c>
      <c r="K516" s="1013">
        <f t="shared" ref="K516:K517" si="224">IF(I516&gt;0,J516*100/I516,0)</f>
        <v>0</v>
      </c>
      <c r="L516" s="1013"/>
      <c r="M516" s="1013"/>
      <c r="N516" s="1013"/>
      <c r="O516" s="1013"/>
      <c r="P516" s="1013"/>
      <c r="Q516" s="1335"/>
      <c r="R516" s="1335"/>
      <c r="S516" s="1335"/>
      <c r="T516" s="1335"/>
      <c r="U516" s="1335"/>
      <c r="V516" s="1335"/>
      <c r="W516" s="1335"/>
      <c r="X516" s="1335"/>
      <c r="Y516" s="1335"/>
      <c r="Z516" s="1335"/>
    </row>
    <row r="517" spans="1:26" ht="19.5" hidden="1">
      <c r="A517" s="1344"/>
      <c r="B517" s="1345"/>
      <c r="C517" s="1345"/>
      <c r="D517" s="1345" t="s">
        <v>223</v>
      </c>
      <c r="E517" s="1333"/>
      <c r="F517" s="1333"/>
      <c r="G517" s="1124"/>
      <c r="H517" s="651" t="s">
        <v>35</v>
      </c>
      <c r="I517" s="1370"/>
      <c r="J517" s="1370">
        <f>J518+J519</f>
        <v>0</v>
      </c>
      <c r="K517" s="1371">
        <f t="shared" si="224"/>
        <v>0</v>
      </c>
      <c r="L517" s="1013"/>
      <c r="M517" s="1013"/>
      <c r="N517" s="1013"/>
      <c r="O517" s="1013"/>
      <c r="P517" s="1013"/>
      <c r="Q517" s="1335"/>
      <c r="R517" s="1335"/>
      <c r="S517" s="1335"/>
      <c r="T517" s="1335"/>
      <c r="U517" s="1335"/>
      <c r="V517" s="1335"/>
      <c r="W517" s="1335"/>
      <c r="X517" s="1335"/>
      <c r="Y517" s="1335"/>
      <c r="Z517" s="1335"/>
    </row>
    <row r="518" spans="1:26" ht="18.75" hidden="1">
      <c r="A518" s="1344"/>
      <c r="B518" s="1345"/>
      <c r="C518" s="1345"/>
      <c r="D518" s="1345"/>
      <c r="E518" s="1345" t="s">
        <v>224</v>
      </c>
      <c r="F518" s="1333"/>
      <c r="G518" s="1124"/>
      <c r="H518" s="370" t="s">
        <v>35</v>
      </c>
      <c r="I518" s="898"/>
      <c r="J518" s="898"/>
      <c r="K518" s="1013"/>
      <c r="L518" s="1013"/>
      <c r="M518" s="1013"/>
      <c r="N518" s="1013"/>
      <c r="O518" s="1013"/>
      <c r="P518" s="1013"/>
      <c r="Q518" s="1335"/>
      <c r="R518" s="1335"/>
      <c r="S518" s="1335"/>
      <c r="T518" s="1335"/>
      <c r="U518" s="1335"/>
      <c r="V518" s="1335"/>
      <c r="W518" s="1335"/>
      <c r="X518" s="1335"/>
      <c r="Y518" s="1335"/>
      <c r="Z518" s="1335"/>
    </row>
    <row r="519" spans="1:26" ht="18.75" hidden="1">
      <c r="A519" s="1344"/>
      <c r="B519" s="1345"/>
      <c r="C519" s="1345"/>
      <c r="D519" s="1345"/>
      <c r="E519" s="1345" t="s">
        <v>225</v>
      </c>
      <c r="F519" s="1333"/>
      <c r="G519" s="1124"/>
      <c r="H519" s="650" t="s">
        <v>35</v>
      </c>
      <c r="I519" s="898"/>
      <c r="J519" s="898"/>
      <c r="K519" s="1013"/>
      <c r="L519" s="1013"/>
      <c r="M519" s="1013"/>
      <c r="N519" s="1013"/>
      <c r="O519" s="1013"/>
      <c r="P519" s="1013"/>
      <c r="Q519" s="1335"/>
      <c r="R519" s="1335"/>
      <c r="S519" s="1335"/>
      <c r="T519" s="1335"/>
      <c r="U519" s="1335"/>
      <c r="V519" s="1335"/>
      <c r="W519" s="1335"/>
      <c r="X519" s="1335"/>
      <c r="Y519" s="1335"/>
      <c r="Z519" s="1335"/>
    </row>
    <row r="520" spans="1:26" ht="19.5" hidden="1">
      <c r="A520" s="1372" t="s">
        <v>137</v>
      </c>
      <c r="B520" s="1373"/>
      <c r="C520" s="1373"/>
      <c r="D520" s="1374"/>
      <c r="E520" s="1374"/>
      <c r="F520" s="1374"/>
      <c r="G520" s="1375"/>
      <c r="H520" s="1376"/>
      <c r="I520" s="1377"/>
      <c r="J520" s="1377"/>
      <c r="K520" s="1378"/>
      <c r="L520" s="1378"/>
      <c r="M520" s="1378"/>
      <c r="N520" s="1378"/>
      <c r="O520" s="1378"/>
      <c r="P520" s="1378"/>
    </row>
    <row r="521" spans="1:26" ht="19.5" hidden="1">
      <c r="A521" s="661">
        <v>5</v>
      </c>
      <c r="B521" s="1379" t="s">
        <v>226</v>
      </c>
      <c r="C521" s="1380"/>
      <c r="D521" s="1381"/>
      <c r="E521" s="1381"/>
      <c r="F521" s="1381"/>
      <c r="G521" s="1381"/>
      <c r="H521" s="1382"/>
      <c r="I521" s="1383"/>
      <c r="J521" s="1383"/>
      <c r="K521" s="1384"/>
      <c r="L521" s="1384"/>
      <c r="M521" s="1384"/>
      <c r="N521" s="1384"/>
      <c r="O521" s="1384"/>
      <c r="P521" s="1384"/>
      <c r="Q521" s="1314"/>
      <c r="R521" s="1314"/>
      <c r="S521" s="1314"/>
      <c r="T521" s="1314"/>
      <c r="U521" s="1314"/>
      <c r="V521" s="1314"/>
      <c r="W521" s="1314"/>
      <c r="X521" s="1314"/>
      <c r="Y521" s="1314"/>
      <c r="Z521" s="1314"/>
    </row>
    <row r="522" spans="1:26" ht="19.5" hidden="1">
      <c r="A522" s="1385"/>
      <c r="B522" s="1386" t="s">
        <v>227</v>
      </c>
      <c r="C522" s="1387"/>
      <c r="D522" s="1387"/>
      <c r="E522" s="1387"/>
      <c r="F522" s="1387"/>
      <c r="G522" s="1388"/>
      <c r="H522" s="672" t="s">
        <v>35</v>
      </c>
      <c r="I522" s="1389">
        <f t="shared" ref="I522:J522" ca="1" si="225">I537</f>
        <v>0</v>
      </c>
      <c r="J522" s="1389">
        <f t="shared" ca="1" si="225"/>
        <v>0</v>
      </c>
      <c r="K522" s="1390">
        <f ca="1">IF(I522&gt;0,J522*100/I522,0)</f>
        <v>0</v>
      </c>
      <c r="L522" s="1391"/>
      <c r="M522" s="1391"/>
      <c r="N522" s="1391"/>
      <c r="O522" s="1391"/>
      <c r="P522" s="1391"/>
      <c r="Q522" s="1314"/>
      <c r="R522" s="1314"/>
      <c r="S522" s="1314"/>
      <c r="T522" s="1314"/>
      <c r="U522" s="1314"/>
      <c r="V522" s="1314"/>
      <c r="W522" s="1314"/>
      <c r="X522" s="1314"/>
      <c r="Y522" s="1314"/>
      <c r="Z522" s="1314"/>
    </row>
    <row r="523" spans="1:26" ht="19.5" hidden="1">
      <c r="A523" s="1329"/>
      <c r="B523" s="1313"/>
      <c r="C523" s="1313" t="s">
        <v>16</v>
      </c>
      <c r="D523" s="1330" t="s">
        <v>17</v>
      </c>
      <c r="E523" s="853"/>
      <c r="F523" s="853"/>
      <c r="G523" s="1028"/>
      <c r="H523" s="596" t="s">
        <v>12</v>
      </c>
      <c r="I523" s="892"/>
      <c r="J523" s="892"/>
      <c r="K523" s="893"/>
      <c r="L523" s="1032">
        <f t="shared" ref="L523:N523" ca="1" si="226">L524+L525</f>
        <v>0</v>
      </c>
      <c r="M523" s="1032">
        <f t="shared" si="226"/>
        <v>0</v>
      </c>
      <c r="N523" s="1032">
        <f t="shared" si="226"/>
        <v>0</v>
      </c>
      <c r="O523" s="1032">
        <f t="shared" ref="O523:O528" ca="1" si="227">IF(L523&gt;0,N523*100/L523,0)</f>
        <v>0</v>
      </c>
      <c r="P523" s="1032">
        <f t="shared" ref="P523:P528" si="228">IF(M523&gt;0,N523*100/M523,0)</f>
        <v>0</v>
      </c>
      <c r="Q523" s="1314"/>
      <c r="R523" s="1314"/>
      <c r="S523" s="1314"/>
      <c r="T523" s="1314"/>
      <c r="U523" s="1314"/>
      <c r="V523" s="1314"/>
      <c r="W523" s="1314"/>
      <c r="X523" s="1314"/>
      <c r="Y523" s="1314"/>
      <c r="Z523" s="1314"/>
    </row>
    <row r="524" spans="1:26" ht="18.75" hidden="1">
      <c r="A524" s="1331"/>
      <c r="B524" s="1332"/>
      <c r="C524" s="1332"/>
      <c r="D524" s="1333"/>
      <c r="E524" s="1332" t="s">
        <v>185</v>
      </c>
      <c r="F524" s="1332"/>
      <c r="G524" s="1334"/>
      <c r="H524" s="165" t="s">
        <v>12</v>
      </c>
      <c r="I524" s="898"/>
      <c r="J524" s="898"/>
      <c r="K524" s="899"/>
      <c r="L524" s="899">
        <f t="shared" ref="L524:N525" si="229">L527+L534</f>
        <v>0</v>
      </c>
      <c r="M524" s="899">
        <f t="shared" si="229"/>
        <v>0</v>
      </c>
      <c r="N524" s="899">
        <f t="shared" si="229"/>
        <v>0</v>
      </c>
      <c r="O524" s="899">
        <f t="shared" si="227"/>
        <v>0</v>
      </c>
      <c r="P524" s="899">
        <f t="shared" si="228"/>
        <v>0</v>
      </c>
      <c r="Q524" s="1335"/>
      <c r="R524" s="1335"/>
      <c r="S524" s="1335"/>
      <c r="T524" s="1335"/>
      <c r="U524" s="1335"/>
      <c r="V524" s="1335"/>
      <c r="W524" s="1335"/>
      <c r="X524" s="1335"/>
      <c r="Y524" s="1335"/>
      <c r="Z524" s="1335"/>
    </row>
    <row r="525" spans="1:26" ht="18.75" hidden="1">
      <c r="A525" s="1331"/>
      <c r="B525" s="1336"/>
      <c r="C525" s="1332"/>
      <c r="D525" s="1333"/>
      <c r="E525" s="1332" t="s">
        <v>186</v>
      </c>
      <c r="F525" s="1332"/>
      <c r="G525" s="1334"/>
      <c r="H525" s="165" t="s">
        <v>12</v>
      </c>
      <c r="I525" s="898"/>
      <c r="J525" s="898"/>
      <c r="K525" s="899"/>
      <c r="L525" s="899">
        <f t="shared" ca="1" si="229"/>
        <v>0</v>
      </c>
      <c r="M525" s="899">
        <f t="shared" si="229"/>
        <v>0</v>
      </c>
      <c r="N525" s="899">
        <f t="shared" si="229"/>
        <v>0</v>
      </c>
      <c r="O525" s="899">
        <f t="shared" ca="1" si="227"/>
        <v>0</v>
      </c>
      <c r="P525" s="899">
        <f t="shared" si="228"/>
        <v>0</v>
      </c>
      <c r="Q525" s="1335"/>
      <c r="R525" s="1335"/>
      <c r="S525" s="1335"/>
      <c r="T525" s="1335"/>
      <c r="U525" s="1335"/>
      <c r="V525" s="1335"/>
      <c r="W525" s="1335"/>
      <c r="X525" s="1335"/>
      <c r="Y525" s="1335"/>
      <c r="Z525" s="1335"/>
    </row>
    <row r="526" spans="1:26" ht="18.75" hidden="1">
      <c r="A526" s="1329"/>
      <c r="B526" s="1312"/>
      <c r="C526" s="1313"/>
      <c r="D526" s="1337" t="s">
        <v>20</v>
      </c>
      <c r="E526" s="1313"/>
      <c r="F526" s="1313"/>
      <c r="G526" s="1028"/>
      <c r="H526" s="161" t="s">
        <v>12</v>
      </c>
      <c r="I526" s="1009"/>
      <c r="J526" s="1009"/>
      <c r="K526" s="1010"/>
      <c r="L526" s="893">
        <f t="shared" ref="L526:N526" ca="1" si="230">L527+L528</f>
        <v>0</v>
      </c>
      <c r="M526" s="893">
        <f t="shared" si="230"/>
        <v>0</v>
      </c>
      <c r="N526" s="893">
        <f t="shared" si="230"/>
        <v>0</v>
      </c>
      <c r="O526" s="893">
        <f t="shared" ca="1" si="227"/>
        <v>0</v>
      </c>
      <c r="P526" s="893">
        <f t="shared" si="228"/>
        <v>0</v>
      </c>
      <c r="Q526" s="1314"/>
      <c r="R526" s="1314"/>
      <c r="S526" s="1314"/>
      <c r="T526" s="1314"/>
      <c r="U526" s="1314"/>
      <c r="V526" s="1314"/>
      <c r="W526" s="1314"/>
      <c r="X526" s="1314"/>
      <c r="Y526" s="1314"/>
      <c r="Z526" s="1314"/>
    </row>
    <row r="527" spans="1:26" ht="18.75" hidden="1">
      <c r="A527" s="1331"/>
      <c r="B527" s="1336"/>
      <c r="C527" s="1332"/>
      <c r="D527" s="1333"/>
      <c r="E527" s="1332" t="s">
        <v>185</v>
      </c>
      <c r="F527" s="1332"/>
      <c r="G527" s="1334"/>
      <c r="H527" s="165" t="s">
        <v>12</v>
      </c>
      <c r="I527" s="898"/>
      <c r="J527" s="898"/>
      <c r="K527" s="899"/>
      <c r="L527" s="899">
        <v>0</v>
      </c>
      <c r="M527" s="899">
        <v>0</v>
      </c>
      <c r="N527" s="899">
        <v>0</v>
      </c>
      <c r="O527" s="899">
        <f t="shared" si="227"/>
        <v>0</v>
      </c>
      <c r="P527" s="899">
        <f t="shared" si="228"/>
        <v>0</v>
      </c>
      <c r="Q527" s="1335"/>
      <c r="R527" s="1335"/>
      <c r="S527" s="1335"/>
      <c r="T527" s="1335"/>
      <c r="U527" s="1335"/>
      <c r="V527" s="1335"/>
      <c r="W527" s="1335"/>
      <c r="X527" s="1335"/>
      <c r="Y527" s="1335"/>
      <c r="Z527" s="1335"/>
    </row>
    <row r="528" spans="1:26" ht="18.75" hidden="1">
      <c r="A528" s="1331"/>
      <c r="B528" s="1336"/>
      <c r="C528" s="1332"/>
      <c r="D528" s="1333"/>
      <c r="E528" s="1332" t="s">
        <v>186</v>
      </c>
      <c r="F528" s="1332"/>
      <c r="G528" s="1334"/>
      <c r="H528" s="165" t="s">
        <v>12</v>
      </c>
      <c r="I528" s="898"/>
      <c r="J528" s="898"/>
      <c r="K528" s="899"/>
      <c r="L528" s="899">
        <f ca="1">IFERROR(__xludf.DUMMYFUNCTION("IMPORTRANGE(""https://docs.google.com/spreadsheets/d/1QqKyyYR6Q21VydFLVH3TRQUabQu_ym0Zz7PgGX0-kHA/edit?usp=sharing"",""แผน!GQ51"")"),0)</f>
        <v>0</v>
      </c>
      <c r="M528" s="899">
        <v>0</v>
      </c>
      <c r="N528" s="899">
        <f>N529+N530+N531+N532</f>
        <v>0</v>
      </c>
      <c r="O528" s="899">
        <f t="shared" ca="1" si="227"/>
        <v>0</v>
      </c>
      <c r="P528" s="899">
        <f t="shared" si="228"/>
        <v>0</v>
      </c>
      <c r="Q528" s="1335"/>
      <c r="R528" s="1335"/>
      <c r="S528" s="1335"/>
      <c r="T528" s="1335"/>
      <c r="U528" s="1335"/>
      <c r="V528" s="1335"/>
      <c r="W528" s="1335"/>
      <c r="X528" s="1335"/>
      <c r="Y528" s="1335"/>
      <c r="Z528" s="1335"/>
    </row>
    <row r="529" spans="1:26" ht="18.75" hidden="1">
      <c r="A529" s="1311"/>
      <c r="B529" s="1312"/>
      <c r="C529" s="1313"/>
      <c r="D529" s="1313"/>
      <c r="E529" s="1313"/>
      <c r="F529" s="1313" t="s">
        <v>187</v>
      </c>
      <c r="G529" s="1028"/>
      <c r="H529" s="161" t="s">
        <v>12</v>
      </c>
      <c r="I529" s="892"/>
      <c r="J529" s="892"/>
      <c r="K529" s="893"/>
      <c r="L529" s="893"/>
      <c r="M529" s="893"/>
      <c r="N529" s="1096">
        <v>0</v>
      </c>
      <c r="O529" s="893"/>
      <c r="P529" s="893"/>
      <c r="Q529" s="1314"/>
      <c r="R529" s="1314"/>
      <c r="S529" s="1314"/>
      <c r="T529" s="1314"/>
      <c r="U529" s="1314"/>
      <c r="V529" s="1314"/>
      <c r="W529" s="1314"/>
      <c r="X529" s="1314"/>
      <c r="Y529" s="1314"/>
      <c r="Z529" s="1314"/>
    </row>
    <row r="530" spans="1:26" ht="18.75" hidden="1">
      <c r="A530" s="1311"/>
      <c r="B530" s="1312"/>
      <c r="C530" s="1313"/>
      <c r="D530" s="1313"/>
      <c r="E530" s="1313"/>
      <c r="F530" s="1313" t="s">
        <v>188</v>
      </c>
      <c r="G530" s="1028"/>
      <c r="H530" s="161" t="s">
        <v>12</v>
      </c>
      <c r="I530" s="892"/>
      <c r="J530" s="892"/>
      <c r="K530" s="893"/>
      <c r="L530" s="893"/>
      <c r="M530" s="893"/>
      <c r="N530" s="1096">
        <v>0</v>
      </c>
      <c r="O530" s="893"/>
      <c r="P530" s="893"/>
      <c r="Q530" s="1314"/>
      <c r="R530" s="1314"/>
      <c r="S530" s="1314"/>
      <c r="T530" s="1314"/>
      <c r="U530" s="1314"/>
      <c r="V530" s="1314"/>
      <c r="W530" s="1314"/>
      <c r="X530" s="1314"/>
      <c r="Y530" s="1314"/>
      <c r="Z530" s="1314"/>
    </row>
    <row r="531" spans="1:26" ht="18.75" hidden="1">
      <c r="A531" s="1311"/>
      <c r="B531" s="1312"/>
      <c r="C531" s="1313"/>
      <c r="D531" s="1313"/>
      <c r="E531" s="1313"/>
      <c r="F531" s="1313" t="s">
        <v>189</v>
      </c>
      <c r="G531" s="1028"/>
      <c r="H531" s="161" t="s">
        <v>12</v>
      </c>
      <c r="I531" s="892"/>
      <c r="J531" s="892"/>
      <c r="K531" s="893"/>
      <c r="L531" s="893"/>
      <c r="M531" s="893"/>
      <c r="N531" s="1096">
        <v>0</v>
      </c>
      <c r="O531" s="893"/>
      <c r="P531" s="893"/>
      <c r="Q531" s="1314"/>
      <c r="R531" s="1314"/>
      <c r="S531" s="1314"/>
      <c r="T531" s="1314"/>
      <c r="U531" s="1314"/>
      <c r="V531" s="1314"/>
      <c r="W531" s="1314"/>
      <c r="X531" s="1314"/>
      <c r="Y531" s="1314"/>
      <c r="Z531" s="1314"/>
    </row>
    <row r="532" spans="1:26" ht="18.75" hidden="1">
      <c r="A532" s="1311"/>
      <c r="B532" s="1312"/>
      <c r="C532" s="1313"/>
      <c r="D532" s="1313"/>
      <c r="E532" s="1313"/>
      <c r="F532" s="1313" t="s">
        <v>190</v>
      </c>
      <c r="G532" s="1028"/>
      <c r="H532" s="161" t="s">
        <v>12</v>
      </c>
      <c r="I532" s="892"/>
      <c r="J532" s="892"/>
      <c r="K532" s="893"/>
      <c r="L532" s="893"/>
      <c r="M532" s="893"/>
      <c r="N532" s="1096">
        <v>0</v>
      </c>
      <c r="O532" s="893"/>
      <c r="P532" s="893"/>
      <c r="Q532" s="1314"/>
      <c r="R532" s="1314"/>
      <c r="S532" s="1314"/>
      <c r="T532" s="1314"/>
      <c r="U532" s="1314"/>
      <c r="V532" s="1314"/>
      <c r="W532" s="1314"/>
      <c r="X532" s="1314"/>
      <c r="Y532" s="1314"/>
      <c r="Z532" s="1314"/>
    </row>
    <row r="533" spans="1:26" ht="18.75" hidden="1">
      <c r="A533" s="1329"/>
      <c r="B533" s="1312"/>
      <c r="C533" s="1313"/>
      <c r="D533" s="1337" t="s">
        <v>21</v>
      </c>
      <c r="E533" s="1313"/>
      <c r="F533" s="1313"/>
      <c r="G533" s="1028"/>
      <c r="H533" s="168" t="s">
        <v>12</v>
      </c>
      <c r="I533" s="1009"/>
      <c r="J533" s="1009"/>
      <c r="K533" s="1010"/>
      <c r="L533" s="893">
        <f t="shared" ref="L533:N533" ca="1" si="231">L534+L535</f>
        <v>0</v>
      </c>
      <c r="M533" s="893">
        <f t="shared" si="231"/>
        <v>0</v>
      </c>
      <c r="N533" s="893">
        <f t="shared" si="231"/>
        <v>0</v>
      </c>
      <c r="O533" s="893">
        <f t="shared" ref="O533:O535" ca="1" si="232">IF(L533&gt;0,N533*100/L533,0)</f>
        <v>0</v>
      </c>
      <c r="P533" s="893">
        <f t="shared" ref="P533:P535" si="233">IF(M533&gt;0,N533*100/M533,0)</f>
        <v>0</v>
      </c>
      <c r="Q533" s="1314"/>
      <c r="R533" s="1314"/>
      <c r="S533" s="1314"/>
      <c r="T533" s="1314"/>
      <c r="U533" s="1314"/>
      <c r="V533" s="1314"/>
      <c r="W533" s="1314"/>
      <c r="X533" s="1314"/>
      <c r="Y533" s="1314"/>
      <c r="Z533" s="1314"/>
    </row>
    <row r="534" spans="1:26" ht="18.75" hidden="1">
      <c r="A534" s="1331"/>
      <c r="B534" s="1336"/>
      <c r="C534" s="1332"/>
      <c r="D534" s="1332"/>
      <c r="E534" s="1332" t="s">
        <v>18</v>
      </c>
      <c r="F534" s="1332"/>
      <c r="G534" s="1334"/>
      <c r="H534" s="165" t="s">
        <v>12</v>
      </c>
      <c r="I534" s="1012"/>
      <c r="J534" s="1012"/>
      <c r="K534" s="1013"/>
      <c r="L534" s="899">
        <v>0</v>
      </c>
      <c r="M534" s="899">
        <v>0</v>
      </c>
      <c r="N534" s="899">
        <v>0</v>
      </c>
      <c r="O534" s="899">
        <f t="shared" si="232"/>
        <v>0</v>
      </c>
      <c r="P534" s="899">
        <f t="shared" si="233"/>
        <v>0</v>
      </c>
      <c r="Q534" s="1335"/>
      <c r="R534" s="1335"/>
      <c r="S534" s="1335"/>
      <c r="T534" s="1335"/>
      <c r="U534" s="1335"/>
      <c r="V534" s="1335"/>
      <c r="W534" s="1335"/>
      <c r="X534" s="1335"/>
      <c r="Y534" s="1335"/>
      <c r="Z534" s="1335"/>
    </row>
    <row r="535" spans="1:26" ht="18.75" hidden="1">
      <c r="A535" s="1331"/>
      <c r="B535" s="1336"/>
      <c r="C535" s="1332"/>
      <c r="D535" s="1332"/>
      <c r="E535" s="1332" t="s">
        <v>19</v>
      </c>
      <c r="F535" s="1332"/>
      <c r="G535" s="1334"/>
      <c r="H535" s="169" t="s">
        <v>12</v>
      </c>
      <c r="I535" s="1012"/>
      <c r="J535" s="1012"/>
      <c r="K535" s="1013"/>
      <c r="L535" s="899">
        <f ca="1">IFERROR(__xludf.DUMMYFUNCTION("IMPORTRANGE(""https://docs.google.com/spreadsheets/d/1QqKyyYR6Q21VydFLVH3TRQUabQu_ym0Zz7PgGX0-kHA/edit?usp=sharing"",""แผน!GT51"")"),0)</f>
        <v>0</v>
      </c>
      <c r="M535" s="899">
        <v>0</v>
      </c>
      <c r="N535" s="899">
        <v>0</v>
      </c>
      <c r="O535" s="899">
        <f t="shared" ca="1" si="232"/>
        <v>0</v>
      </c>
      <c r="P535" s="899">
        <f t="shared" si="233"/>
        <v>0</v>
      </c>
      <c r="Q535" s="1335"/>
      <c r="R535" s="1335"/>
      <c r="S535" s="1335"/>
      <c r="T535" s="1335"/>
      <c r="U535" s="1335"/>
      <c r="V535" s="1335"/>
      <c r="W535" s="1335"/>
      <c r="X535" s="1335"/>
      <c r="Y535" s="1335"/>
      <c r="Z535" s="1335"/>
    </row>
    <row r="536" spans="1:26" ht="19.5" hidden="1">
      <c r="A536" s="1338"/>
      <c r="B536" s="1339"/>
      <c r="C536" s="1313" t="s">
        <v>16</v>
      </c>
      <c r="D536" s="1392" t="s">
        <v>38</v>
      </c>
      <c r="E536" s="1342"/>
      <c r="F536" s="1342"/>
      <c r="G536" s="1343"/>
      <c r="H536" s="1019"/>
      <c r="I536" s="1009"/>
      <c r="J536" s="1009"/>
      <c r="K536" s="1010"/>
      <c r="L536" s="1010"/>
      <c r="M536" s="1010"/>
      <c r="N536" s="1010"/>
      <c r="O536" s="1010"/>
      <c r="P536" s="1010"/>
      <c r="Q536" s="1314"/>
      <c r="R536" s="1314"/>
      <c r="S536" s="1314"/>
      <c r="T536" s="1314"/>
      <c r="U536" s="1314"/>
      <c r="V536" s="1314"/>
      <c r="W536" s="1314"/>
      <c r="X536" s="1314"/>
      <c r="Y536" s="1314"/>
      <c r="Z536" s="1314"/>
    </row>
    <row r="537" spans="1:26" ht="19.5" hidden="1">
      <c r="A537" s="1311"/>
      <c r="B537" s="1312"/>
      <c r="C537" s="1313"/>
      <c r="D537" s="1313" t="s">
        <v>228</v>
      </c>
      <c r="E537" s="1313"/>
      <c r="F537" s="1313"/>
      <c r="G537" s="1028"/>
      <c r="H537" s="621" t="s">
        <v>35</v>
      </c>
      <c r="I537" s="1031">
        <f ca="1">IFERROR(__xludf.DUMMYFUNCTION("IMPORTRANGE(""https://docs.google.com/spreadsheets/d/1QqKyyYR6Q21VydFLVH3TRQUabQu_ym0Zz7PgGX0-kHA/edit?usp=sharing"",""แผน!GU51"")"),0)</f>
        <v>0</v>
      </c>
      <c r="J537" s="1031">
        <f ca="1">IF(AND(J538=I538,J539=I539,J540=I540,J541=I541),I537,0)</f>
        <v>0</v>
      </c>
      <c r="K537" s="893">
        <f t="shared" ref="K537:K543" ca="1" si="234">IF(I537&gt;0,J537*100/I537,0)</f>
        <v>0</v>
      </c>
      <c r="L537" s="893"/>
      <c r="M537" s="893"/>
      <c r="N537" s="893"/>
      <c r="O537" s="893"/>
      <c r="P537" s="893"/>
      <c r="Q537" s="1393"/>
      <c r="R537" s="1393"/>
      <c r="S537" s="1393"/>
      <c r="T537" s="1393"/>
      <c r="U537" s="1393"/>
      <c r="V537" s="1393"/>
      <c r="W537" s="1393"/>
      <c r="X537" s="1393"/>
      <c r="Y537" s="1393"/>
      <c r="Z537" s="1393"/>
    </row>
    <row r="538" spans="1:26" ht="18.75" hidden="1">
      <c r="A538" s="1311"/>
      <c r="B538" s="1312"/>
      <c r="C538" s="1313"/>
      <c r="D538" s="1313"/>
      <c r="E538" s="1313" t="s">
        <v>229</v>
      </c>
      <c r="F538" s="1313"/>
      <c r="G538" s="1028"/>
      <c r="H538" s="621" t="s">
        <v>35</v>
      </c>
      <c r="I538" s="892">
        <f ca="1">IFERROR(__xludf.DUMMYFUNCTION("IMPORTRANGE(""https://docs.google.com/spreadsheets/d/1QqKyyYR6Q21VydFLVH3TRQUabQu_ym0Zz7PgGX0-kHA/edit?usp=sharing"",""แผน!GV51"")"),0)</f>
        <v>0</v>
      </c>
      <c r="J538" s="1024">
        <v>0</v>
      </c>
      <c r="K538" s="893">
        <f t="shared" ca="1" si="234"/>
        <v>0</v>
      </c>
      <c r="L538" s="893"/>
      <c r="M538" s="893"/>
      <c r="N538" s="893"/>
      <c r="O538" s="893"/>
      <c r="P538" s="893"/>
      <c r="Q538" s="1393"/>
      <c r="R538" s="1393"/>
      <c r="S538" s="1393"/>
      <c r="T538" s="1393"/>
      <c r="U538" s="1393"/>
      <c r="V538" s="1393"/>
      <c r="W538" s="1393"/>
      <c r="X538" s="1393"/>
      <c r="Y538" s="1393"/>
      <c r="Z538" s="1393"/>
    </row>
    <row r="539" spans="1:26" ht="18.75" hidden="1">
      <c r="A539" s="1311"/>
      <c r="B539" s="1312"/>
      <c r="C539" s="1313"/>
      <c r="D539" s="1313"/>
      <c r="E539" s="1313" t="s">
        <v>230</v>
      </c>
      <c r="F539" s="1313"/>
      <c r="G539" s="1028"/>
      <c r="H539" s="621" t="s">
        <v>35</v>
      </c>
      <c r="I539" s="892">
        <f ca="1">IFERROR(__xludf.DUMMYFUNCTION("IMPORTRANGE(""https://docs.google.com/spreadsheets/d/1QqKyyYR6Q21VydFLVH3TRQUabQu_ym0Zz7PgGX0-kHA/edit?usp=sharing"",""แผน!GW51"")"),0)</f>
        <v>0</v>
      </c>
      <c r="J539" s="1024">
        <v>0</v>
      </c>
      <c r="K539" s="893">
        <f t="shared" ca="1" si="234"/>
        <v>0</v>
      </c>
      <c r="L539" s="893"/>
      <c r="M539" s="893"/>
      <c r="N539" s="893"/>
      <c r="O539" s="893"/>
      <c r="P539" s="893"/>
      <c r="Q539" s="1393"/>
      <c r="R539" s="1393"/>
      <c r="S539" s="1393"/>
      <c r="T539" s="1393"/>
      <c r="U539" s="1393"/>
      <c r="V539" s="1393"/>
      <c r="W539" s="1393"/>
      <c r="X539" s="1393"/>
      <c r="Y539" s="1393"/>
      <c r="Z539" s="1393"/>
    </row>
    <row r="540" spans="1:26" ht="18.75" hidden="1">
      <c r="A540" s="1311"/>
      <c r="B540" s="1312"/>
      <c r="C540" s="1313"/>
      <c r="D540" s="1313"/>
      <c r="E540" s="1313" t="s">
        <v>231</v>
      </c>
      <c r="F540" s="1313"/>
      <c r="G540" s="1028"/>
      <c r="H540" s="621" t="s">
        <v>35</v>
      </c>
      <c r="I540" s="892">
        <f ca="1">IFERROR(__xludf.DUMMYFUNCTION("IMPORTRANGE(""https://docs.google.com/spreadsheets/d/1QqKyyYR6Q21VydFLVH3TRQUabQu_ym0Zz7PgGX0-kHA/edit?usp=sharing"",""แผน!GX51"")"),0)</f>
        <v>0</v>
      </c>
      <c r="J540" s="1024">
        <v>0</v>
      </c>
      <c r="K540" s="893">
        <f t="shared" ca="1" si="234"/>
        <v>0</v>
      </c>
      <c r="L540" s="893"/>
      <c r="M540" s="893"/>
      <c r="N540" s="893"/>
      <c r="O540" s="893"/>
      <c r="P540" s="893"/>
      <c r="Q540" s="1393"/>
      <c r="R540" s="1393"/>
      <c r="S540" s="1393"/>
      <c r="T540" s="1393"/>
      <c r="U540" s="1393"/>
      <c r="V540" s="1393"/>
      <c r="W540" s="1393"/>
      <c r="X540" s="1393"/>
      <c r="Y540" s="1393"/>
      <c r="Z540" s="1393"/>
    </row>
    <row r="541" spans="1:26" ht="18.75" hidden="1">
      <c r="A541" s="1311"/>
      <c r="B541" s="1312"/>
      <c r="C541" s="1313"/>
      <c r="D541" s="1313"/>
      <c r="E541" s="1394" t="s">
        <v>232</v>
      </c>
      <c r="F541" s="1313"/>
      <c r="G541" s="1028"/>
      <c r="H541" s="621" t="s">
        <v>35</v>
      </c>
      <c r="I541" s="892">
        <f ca="1">IFERROR(__xludf.DUMMYFUNCTION("IMPORTRANGE(""https://docs.google.com/spreadsheets/d/1QqKyyYR6Q21VydFLVH3TRQUabQu_ym0Zz7PgGX0-kHA/edit?usp=sharing"",""แผน!GY51"")"),0)</f>
        <v>0</v>
      </c>
      <c r="J541" s="1024">
        <v>0</v>
      </c>
      <c r="K541" s="893">
        <f t="shared" ca="1" si="234"/>
        <v>0</v>
      </c>
      <c r="L541" s="893"/>
      <c r="M541" s="893"/>
      <c r="N541" s="893"/>
      <c r="O541" s="893"/>
      <c r="P541" s="893"/>
      <c r="Q541" s="1393"/>
      <c r="R541" s="1393"/>
      <c r="S541" s="1393"/>
      <c r="T541" s="1393"/>
      <c r="U541" s="1393"/>
      <c r="V541" s="1393"/>
      <c r="W541" s="1393"/>
      <c r="X541" s="1393"/>
      <c r="Y541" s="1393"/>
      <c r="Z541" s="1393"/>
    </row>
    <row r="542" spans="1:26" ht="18.75" hidden="1">
      <c r="A542" s="1311"/>
      <c r="B542" s="1312"/>
      <c r="C542" s="1313"/>
      <c r="D542" s="1313" t="s">
        <v>59</v>
      </c>
      <c r="E542" s="1313"/>
      <c r="F542" s="1313"/>
      <c r="G542" s="1028"/>
      <c r="H542" s="621" t="s">
        <v>35</v>
      </c>
      <c r="I542" s="892">
        <f ca="1">IFERROR(__xludf.DUMMYFUNCTION("IMPORTRANGE(""https://docs.google.com/spreadsheets/d/1QqKyyYR6Q21VydFLVH3TRQUabQu_ym0Zz7PgGX0-kHA/edit?usp=sharing"",""แผน!GZ51"")"),0)</f>
        <v>0</v>
      </c>
      <c r="J542" s="1024">
        <v>0</v>
      </c>
      <c r="K542" s="893">
        <f t="shared" ca="1" si="234"/>
        <v>0</v>
      </c>
      <c r="L542" s="893"/>
      <c r="M542" s="893"/>
      <c r="N542" s="893"/>
      <c r="O542" s="893"/>
      <c r="P542" s="893"/>
      <c r="Q542" s="1393"/>
      <c r="R542" s="1393"/>
      <c r="S542" s="1393"/>
      <c r="T542" s="1393"/>
      <c r="U542" s="1393"/>
      <c r="V542" s="1393"/>
      <c r="W542" s="1393"/>
      <c r="X542" s="1393"/>
      <c r="Y542" s="1393"/>
      <c r="Z542" s="1393"/>
    </row>
    <row r="543" spans="1:26" ht="19.5">
      <c r="A543" s="661">
        <v>6</v>
      </c>
      <c r="B543" s="1395" t="s">
        <v>233</v>
      </c>
      <c r="C543" s="1381"/>
      <c r="D543" s="1381"/>
      <c r="E543" s="1381"/>
      <c r="F543" s="1381"/>
      <c r="G543" s="1382"/>
      <c r="H543" s="683" t="s">
        <v>46</v>
      </c>
      <c r="I543" s="1396">
        <f t="shared" ref="I543:J543" ca="1" si="235">I559</f>
        <v>88522</v>
      </c>
      <c r="J543" s="1396">
        <f t="shared" si="235"/>
        <v>88521.93250000001</v>
      </c>
      <c r="K543" s="1397">
        <f t="shared" ca="1" si="234"/>
        <v>99.999923747768932</v>
      </c>
      <c r="L543" s="1384"/>
      <c r="M543" s="1384"/>
      <c r="N543" s="1384"/>
      <c r="O543" s="1384"/>
      <c r="P543" s="1384"/>
      <c r="Q543" s="1314"/>
      <c r="R543" s="1314"/>
      <c r="S543" s="1314"/>
      <c r="T543" s="1314"/>
      <c r="U543" s="1314"/>
      <c r="V543" s="1314"/>
      <c r="W543" s="1314"/>
      <c r="X543" s="1314"/>
      <c r="Y543" s="1314"/>
      <c r="Z543" s="1314"/>
    </row>
    <row r="544" spans="1:26" ht="19.5">
      <c r="A544" s="1398"/>
      <c r="B544" s="1399"/>
      <c r="C544" s="1399" t="s">
        <v>16</v>
      </c>
      <c r="D544" s="1400" t="s">
        <v>17</v>
      </c>
      <c r="E544" s="858"/>
      <c r="F544" s="858"/>
      <c r="G544" s="1401"/>
      <c r="H544" s="275" t="s">
        <v>12</v>
      </c>
      <c r="I544" s="1002"/>
      <c r="J544" s="1002"/>
      <c r="K544" s="1003"/>
      <c r="L544" s="1004">
        <f t="shared" ref="L544:N544" ca="1" si="236">L545+L546</f>
        <v>517164</v>
      </c>
      <c r="M544" s="1004">
        <f t="shared" ca="1" si="236"/>
        <v>517164</v>
      </c>
      <c r="N544" s="1004">
        <f t="shared" si="236"/>
        <v>319637.25</v>
      </c>
      <c r="O544" s="1004">
        <f t="shared" ref="O544:O549" ca="1" si="237">IF(L544&gt;0,N544*100/L544,0)</f>
        <v>61.805781144859274</v>
      </c>
      <c r="P544" s="1004">
        <f t="shared" ref="P544:P549" ca="1" si="238">IF(M544&gt;0,N544*100/M544,0)</f>
        <v>61.805781144859274</v>
      </c>
      <c r="Q544" s="1314"/>
      <c r="R544" s="1314"/>
      <c r="S544" s="1314"/>
      <c r="T544" s="1314"/>
      <c r="U544" s="1314"/>
      <c r="V544" s="1314"/>
      <c r="W544" s="1314"/>
      <c r="X544" s="1314"/>
      <c r="Y544" s="1314"/>
      <c r="Z544" s="1314"/>
    </row>
    <row r="545" spans="1:26" ht="18.75" hidden="1">
      <c r="A545" s="1331"/>
      <c r="B545" s="1332"/>
      <c r="C545" s="1332"/>
      <c r="D545" s="1332"/>
      <c r="E545" s="1332" t="s">
        <v>185</v>
      </c>
      <c r="F545" s="1332"/>
      <c r="G545" s="1334"/>
      <c r="H545" s="165" t="s">
        <v>12</v>
      </c>
      <c r="I545" s="898"/>
      <c r="J545" s="898"/>
      <c r="K545" s="899"/>
      <c r="L545" s="899">
        <f t="shared" ref="L545:L546" si="239">L548+L556</f>
        <v>0</v>
      </c>
      <c r="M545" s="899">
        <f t="shared" ref="M545:N546" si="240">M548+M555</f>
        <v>0</v>
      </c>
      <c r="N545" s="899">
        <f t="shared" si="240"/>
        <v>0</v>
      </c>
      <c r="O545" s="899">
        <f t="shared" si="237"/>
        <v>0</v>
      </c>
      <c r="P545" s="899">
        <f t="shared" si="238"/>
        <v>0</v>
      </c>
      <c r="Q545" s="1335"/>
      <c r="R545" s="1335"/>
      <c r="S545" s="1335"/>
      <c r="T545" s="1335"/>
      <c r="U545" s="1335"/>
      <c r="V545" s="1335"/>
      <c r="W545" s="1335"/>
      <c r="X545" s="1335"/>
      <c r="Y545" s="1335"/>
      <c r="Z545" s="1335"/>
    </row>
    <row r="546" spans="1:26" ht="18.75" hidden="1">
      <c r="A546" s="1331"/>
      <c r="B546" s="1336"/>
      <c r="C546" s="1332"/>
      <c r="D546" s="1332"/>
      <c r="E546" s="1332" t="s">
        <v>186</v>
      </c>
      <c r="F546" s="1332"/>
      <c r="G546" s="1334"/>
      <c r="H546" s="165" t="s">
        <v>12</v>
      </c>
      <c r="I546" s="898"/>
      <c r="J546" s="898"/>
      <c r="K546" s="899"/>
      <c r="L546" s="899">
        <f t="shared" ca="1" si="239"/>
        <v>517164</v>
      </c>
      <c r="M546" s="899">
        <f t="shared" ca="1" si="240"/>
        <v>517164</v>
      </c>
      <c r="N546" s="899">
        <f t="shared" si="240"/>
        <v>319637.25</v>
      </c>
      <c r="O546" s="899">
        <f t="shared" ca="1" si="237"/>
        <v>61.805781144859274</v>
      </c>
      <c r="P546" s="899">
        <f t="shared" ca="1" si="238"/>
        <v>61.805781144859274</v>
      </c>
      <c r="Q546" s="1335"/>
      <c r="R546" s="1335"/>
      <c r="S546" s="1335"/>
      <c r="T546" s="1335"/>
      <c r="U546" s="1335"/>
      <c r="V546" s="1335"/>
      <c r="W546" s="1335"/>
      <c r="X546" s="1335"/>
      <c r="Y546" s="1335"/>
      <c r="Z546" s="1335"/>
    </row>
    <row r="547" spans="1:26" ht="18.75">
      <c r="A547" s="1329"/>
      <c r="B547" s="1312"/>
      <c r="C547" s="1313"/>
      <c r="D547" s="1337" t="s">
        <v>20</v>
      </c>
      <c r="E547" s="1313"/>
      <c r="F547" s="1313"/>
      <c r="G547" s="1028"/>
      <c r="H547" s="161" t="s">
        <v>12</v>
      </c>
      <c r="I547" s="1009"/>
      <c r="J547" s="1009"/>
      <c r="K547" s="1010"/>
      <c r="L547" s="893">
        <f t="shared" ref="L547:N547" ca="1" si="241">L548+L549</f>
        <v>517164</v>
      </c>
      <c r="M547" s="893">
        <f t="shared" ca="1" si="241"/>
        <v>517164</v>
      </c>
      <c r="N547" s="893">
        <f t="shared" si="241"/>
        <v>319637.25</v>
      </c>
      <c r="O547" s="893">
        <f t="shared" ca="1" si="237"/>
        <v>61.805781144859274</v>
      </c>
      <c r="P547" s="893">
        <f t="shared" ca="1" si="238"/>
        <v>61.805781144859274</v>
      </c>
      <c r="Q547" s="1314"/>
      <c r="R547" s="1314"/>
      <c r="S547" s="1314"/>
      <c r="T547" s="1314"/>
      <c r="U547" s="1314"/>
      <c r="V547" s="1314"/>
      <c r="W547" s="1314"/>
      <c r="X547" s="1314"/>
      <c r="Y547" s="1314"/>
      <c r="Z547" s="1314"/>
    </row>
    <row r="548" spans="1:26" ht="18.75" hidden="1">
      <c r="A548" s="1331"/>
      <c r="B548" s="1336"/>
      <c r="C548" s="1332"/>
      <c r="D548" s="1333"/>
      <c r="E548" s="1332" t="s">
        <v>185</v>
      </c>
      <c r="F548" s="1332"/>
      <c r="G548" s="1334"/>
      <c r="H548" s="165" t="s">
        <v>12</v>
      </c>
      <c r="I548" s="898"/>
      <c r="J548" s="898"/>
      <c r="K548" s="899"/>
      <c r="L548" s="899">
        <v>0</v>
      </c>
      <c r="M548" s="899">
        <v>0</v>
      </c>
      <c r="N548" s="899">
        <v>0</v>
      </c>
      <c r="O548" s="899">
        <f t="shared" si="237"/>
        <v>0</v>
      </c>
      <c r="P548" s="899">
        <f t="shared" si="238"/>
        <v>0</v>
      </c>
      <c r="Q548" s="1335"/>
      <c r="R548" s="1335"/>
      <c r="S548" s="1335"/>
      <c r="T548" s="1335"/>
      <c r="U548" s="1335"/>
      <c r="V548" s="1335"/>
      <c r="W548" s="1335"/>
      <c r="X548" s="1335"/>
      <c r="Y548" s="1335"/>
      <c r="Z548" s="1335"/>
    </row>
    <row r="549" spans="1:26" ht="18.75" hidden="1">
      <c r="A549" s="1331"/>
      <c r="B549" s="1336"/>
      <c r="C549" s="1332"/>
      <c r="D549" s="1333"/>
      <c r="E549" s="1332" t="s">
        <v>186</v>
      </c>
      <c r="F549" s="1332"/>
      <c r="G549" s="1334"/>
      <c r="H549" s="165" t="s">
        <v>12</v>
      </c>
      <c r="I549" s="898"/>
      <c r="J549" s="898"/>
      <c r="K549" s="899"/>
      <c r="L549" s="899">
        <f ca="1">IFERROR(__xludf.DUMMYFUNCTION("IMPORTRANGE(""https://docs.google.com/spreadsheets/d/1QqKyyYR6Q21VydFLVH3TRQUabQu_ym0Zz7PgGX0-kHA/edit?usp=sharing"",""แผน!HB51"")"),517164)</f>
        <v>517164</v>
      </c>
      <c r="M549" s="899">
        <f ca="1">L549</f>
        <v>517164</v>
      </c>
      <c r="N549" s="899">
        <f>N550+N551+N552+N553+N554</f>
        <v>319637.25</v>
      </c>
      <c r="O549" s="899">
        <f t="shared" ca="1" si="237"/>
        <v>61.805781144859274</v>
      </c>
      <c r="P549" s="899">
        <f t="shared" ca="1" si="238"/>
        <v>61.805781144859274</v>
      </c>
      <c r="Q549" s="1335"/>
      <c r="R549" s="1335"/>
      <c r="S549" s="1335"/>
      <c r="T549" s="1335"/>
      <c r="U549" s="1335"/>
      <c r="V549" s="1335"/>
      <c r="W549" s="1335"/>
      <c r="X549" s="1335"/>
      <c r="Y549" s="1335"/>
      <c r="Z549" s="1335"/>
    </row>
    <row r="550" spans="1:26" ht="18.75">
      <c r="A550" s="1311"/>
      <c r="B550" s="1312"/>
      <c r="C550" s="1313"/>
      <c r="D550" s="1313"/>
      <c r="E550" s="1313"/>
      <c r="F550" s="1313" t="s">
        <v>187</v>
      </c>
      <c r="G550" s="1028"/>
      <c r="H550" s="161" t="s">
        <v>12</v>
      </c>
      <c r="I550" s="892"/>
      <c r="J550" s="892"/>
      <c r="K550" s="893"/>
      <c r="L550" s="893"/>
      <c r="M550" s="893"/>
      <c r="N550" s="1096">
        <v>0</v>
      </c>
      <c r="O550" s="893"/>
      <c r="P550" s="893"/>
      <c r="Q550" s="1314"/>
      <c r="R550" s="1314"/>
      <c r="S550" s="1314"/>
      <c r="T550" s="1314"/>
      <c r="U550" s="1314"/>
      <c r="V550" s="1314"/>
      <c r="W550" s="1314"/>
      <c r="X550" s="1314"/>
      <c r="Y550" s="1314"/>
      <c r="Z550" s="1314"/>
    </row>
    <row r="551" spans="1:26" ht="18.75">
      <c r="A551" s="1311"/>
      <c r="B551" s="1312"/>
      <c r="C551" s="1312"/>
      <c r="D551" s="1312"/>
      <c r="E551" s="1313"/>
      <c r="F551" s="1313" t="s">
        <v>188</v>
      </c>
      <c r="G551" s="1028"/>
      <c r="H551" s="161" t="s">
        <v>12</v>
      </c>
      <c r="I551" s="892"/>
      <c r="J551" s="892"/>
      <c r="K551" s="893"/>
      <c r="L551" s="893"/>
      <c r="M551" s="893"/>
      <c r="N551" s="1096">
        <v>0</v>
      </c>
      <c r="O551" s="893"/>
      <c r="P551" s="893"/>
      <c r="Q551" s="1314"/>
      <c r="R551" s="1314"/>
      <c r="S551" s="1314"/>
      <c r="T551" s="1314"/>
      <c r="U551" s="1314"/>
      <c r="V551" s="1314"/>
      <c r="W551" s="1314"/>
      <c r="X551" s="1314"/>
      <c r="Y551" s="1314"/>
      <c r="Z551" s="1314"/>
    </row>
    <row r="552" spans="1:26" ht="18.75">
      <c r="A552" s="1311"/>
      <c r="B552" s="1312"/>
      <c r="C552" s="1313"/>
      <c r="D552" s="1313"/>
      <c r="E552" s="1313"/>
      <c r="F552" s="1313" t="s">
        <v>189</v>
      </c>
      <c r="G552" s="1028"/>
      <c r="H552" s="161" t="s">
        <v>12</v>
      </c>
      <c r="I552" s="892"/>
      <c r="J552" s="892"/>
      <c r="K552" s="893"/>
      <c r="L552" s="893"/>
      <c r="M552" s="893"/>
      <c r="N552" s="1096">
        <v>65000</v>
      </c>
      <c r="O552" s="893"/>
      <c r="P552" s="893"/>
      <c r="Q552" s="1314"/>
      <c r="R552" s="1314"/>
      <c r="S552" s="1314"/>
      <c r="T552" s="1314"/>
      <c r="U552" s="1314"/>
      <c r="V552" s="1314"/>
      <c r="W552" s="1314"/>
      <c r="X552" s="1314"/>
      <c r="Y552" s="1314"/>
      <c r="Z552" s="1314"/>
    </row>
    <row r="553" spans="1:26" ht="18.75">
      <c r="A553" s="1311"/>
      <c r="B553" s="1312"/>
      <c r="C553" s="1312"/>
      <c r="D553" s="1312"/>
      <c r="E553" s="1313"/>
      <c r="F553" s="1313" t="s">
        <v>190</v>
      </c>
      <c r="G553" s="1028"/>
      <c r="H553" s="161" t="s">
        <v>12</v>
      </c>
      <c r="I553" s="892"/>
      <c r="J553" s="892"/>
      <c r="K553" s="893"/>
      <c r="L553" s="893"/>
      <c r="M553" s="893"/>
      <c r="N553" s="1096">
        <f>64425+3010+12604.25+12000+15000+12863+3000+131735</f>
        <v>254637.25</v>
      </c>
      <c r="O553" s="893"/>
      <c r="P553" s="893"/>
      <c r="Q553" s="1314"/>
      <c r="R553" s="1314"/>
      <c r="S553" s="1314"/>
      <c r="T553" s="1314"/>
      <c r="U553" s="1314"/>
      <c r="V553" s="1314"/>
      <c r="W553" s="1314"/>
      <c r="X553" s="1314"/>
      <c r="Y553" s="1314"/>
      <c r="Z553" s="1314"/>
    </row>
    <row r="554" spans="1:26" ht="18.75">
      <c r="A554" s="1311"/>
      <c r="B554" s="1312"/>
      <c r="C554" s="1312"/>
      <c r="D554" s="1312"/>
      <c r="E554" s="1313"/>
      <c r="F554" s="1313" t="s">
        <v>234</v>
      </c>
      <c r="G554" s="1028"/>
      <c r="H554" s="161" t="s">
        <v>12</v>
      </c>
      <c r="I554" s="892"/>
      <c r="J554" s="892"/>
      <c r="K554" s="893"/>
      <c r="L554" s="893"/>
      <c r="M554" s="893"/>
      <c r="N554" s="1096">
        <v>0</v>
      </c>
      <c r="O554" s="893"/>
      <c r="P554" s="893"/>
      <c r="Q554" s="1314"/>
      <c r="R554" s="1314"/>
      <c r="S554" s="1314"/>
      <c r="T554" s="1314"/>
      <c r="U554" s="1314"/>
      <c r="V554" s="1314"/>
      <c r="W554" s="1314"/>
      <c r="X554" s="1314"/>
      <c r="Y554" s="1314"/>
      <c r="Z554" s="1314"/>
    </row>
    <row r="555" spans="1:26" ht="18.75">
      <c r="A555" s="1329"/>
      <c r="B555" s="1312"/>
      <c r="C555" s="1312"/>
      <c r="D555" s="1337" t="s">
        <v>21</v>
      </c>
      <c r="E555" s="1313"/>
      <c r="F555" s="1313"/>
      <c r="G555" s="1028"/>
      <c r="H555" s="168" t="s">
        <v>12</v>
      </c>
      <c r="I555" s="1009"/>
      <c r="J555" s="1009"/>
      <c r="K555" s="1010"/>
      <c r="L555" s="893">
        <f t="shared" ref="L555:N555" ca="1" si="242">L556+L557</f>
        <v>0</v>
      </c>
      <c r="M555" s="893">
        <f t="shared" si="242"/>
        <v>0</v>
      </c>
      <c r="N555" s="893">
        <f t="shared" si="242"/>
        <v>0</v>
      </c>
      <c r="O555" s="893">
        <f t="shared" ref="O555:O557" ca="1" si="243">IF(L555&gt;0,N555*100/L555,0)</f>
        <v>0</v>
      </c>
      <c r="P555" s="893">
        <f t="shared" ref="P555:P557" si="244">IF(M555&gt;0,N555*100/M555,0)</f>
        <v>0</v>
      </c>
      <c r="Q555" s="1314"/>
      <c r="R555" s="1314"/>
      <c r="S555" s="1314"/>
      <c r="T555" s="1314"/>
      <c r="U555" s="1314"/>
      <c r="V555" s="1314"/>
      <c r="W555" s="1314"/>
      <c r="X555" s="1314"/>
      <c r="Y555" s="1314"/>
      <c r="Z555" s="1314"/>
    </row>
    <row r="556" spans="1:26" ht="18.75" hidden="1">
      <c r="A556" s="1331"/>
      <c r="B556" s="1336"/>
      <c r="C556" s="1336"/>
      <c r="D556" s="1332"/>
      <c r="E556" s="1332" t="s">
        <v>18</v>
      </c>
      <c r="F556" s="1332"/>
      <c r="G556" s="1334"/>
      <c r="H556" s="165" t="s">
        <v>12</v>
      </c>
      <c r="I556" s="1012"/>
      <c r="J556" s="1012"/>
      <c r="K556" s="1013"/>
      <c r="L556" s="899">
        <v>0</v>
      </c>
      <c r="M556" s="899">
        <v>0</v>
      </c>
      <c r="N556" s="899">
        <v>0</v>
      </c>
      <c r="O556" s="899">
        <f t="shared" si="243"/>
        <v>0</v>
      </c>
      <c r="P556" s="899">
        <f t="shared" si="244"/>
        <v>0</v>
      </c>
      <c r="Q556" s="1335"/>
      <c r="R556" s="1335"/>
      <c r="S556" s="1335"/>
      <c r="T556" s="1335"/>
      <c r="U556" s="1335"/>
      <c r="V556" s="1335"/>
      <c r="W556" s="1335"/>
      <c r="X556" s="1335"/>
      <c r="Y556" s="1335"/>
      <c r="Z556" s="1335"/>
    </row>
    <row r="557" spans="1:26" ht="18.75" hidden="1">
      <c r="A557" s="1331"/>
      <c r="B557" s="1336"/>
      <c r="C557" s="1336"/>
      <c r="D557" s="1332"/>
      <c r="E557" s="1332" t="s">
        <v>19</v>
      </c>
      <c r="F557" s="1332"/>
      <c r="G557" s="1334"/>
      <c r="H557" s="169" t="s">
        <v>12</v>
      </c>
      <c r="I557" s="1012"/>
      <c r="J557" s="1012"/>
      <c r="K557" s="1013"/>
      <c r="L557" s="899">
        <f ca="1">IFERROR(__xludf.DUMMYFUNCTION("IMPORTRANGE(""https://docs.google.com/spreadsheets/d/1QqKyyYR6Q21VydFLVH3TRQUabQu_ym0Zz7PgGX0-kHA/edit?usp=sharing"",""แผน!HF51"")"),0)</f>
        <v>0</v>
      </c>
      <c r="M557" s="899">
        <v>0</v>
      </c>
      <c r="N557" s="899">
        <v>0</v>
      </c>
      <c r="O557" s="899">
        <f t="shared" ca="1" si="243"/>
        <v>0</v>
      </c>
      <c r="P557" s="899">
        <f t="shared" si="244"/>
        <v>0</v>
      </c>
      <c r="Q557" s="1335"/>
      <c r="R557" s="1335"/>
      <c r="S557" s="1335"/>
      <c r="T557" s="1335"/>
      <c r="U557" s="1335"/>
      <c r="V557" s="1335"/>
      <c r="W557" s="1335"/>
      <c r="X557" s="1335"/>
      <c r="Y557" s="1335"/>
      <c r="Z557" s="1335"/>
    </row>
    <row r="558" spans="1:26" ht="19.5">
      <c r="A558" s="1338"/>
      <c r="B558" s="1339"/>
      <c r="C558" s="1312" t="s">
        <v>16</v>
      </c>
      <c r="D558" s="1392" t="s">
        <v>38</v>
      </c>
      <c r="E558" s="1342"/>
      <c r="F558" s="1342"/>
      <c r="G558" s="1343"/>
      <c r="H558" s="1019"/>
      <c r="I558" s="1009"/>
      <c r="J558" s="1009"/>
      <c r="K558" s="1010"/>
      <c r="L558" s="1010"/>
      <c r="M558" s="1010"/>
      <c r="N558" s="1010"/>
      <c r="O558" s="1010"/>
      <c r="P558" s="1010"/>
      <c r="Q558" s="1314"/>
      <c r="R558" s="1314"/>
      <c r="S558" s="1314"/>
      <c r="T558" s="1314"/>
      <c r="U558" s="1314"/>
      <c r="V558" s="1314"/>
      <c r="W558" s="1314"/>
      <c r="X558" s="1314"/>
      <c r="Y558" s="1314"/>
      <c r="Z558" s="1314"/>
    </row>
    <row r="559" spans="1:26" ht="19.5">
      <c r="A559" s="1402"/>
      <c r="B559" s="1403" t="s">
        <v>235</v>
      </c>
      <c r="C559" s="1404"/>
      <c r="D559" s="1404"/>
      <c r="E559" s="1387"/>
      <c r="F559" s="1387"/>
      <c r="G559" s="1388"/>
      <c r="H559" s="692" t="s">
        <v>46</v>
      </c>
      <c r="I559" s="1389">
        <f t="shared" ref="I559:J559" ca="1" si="245">I576</f>
        <v>88522</v>
      </c>
      <c r="J559" s="1389">
        <f t="shared" si="245"/>
        <v>88521.93250000001</v>
      </c>
      <c r="K559" s="1390">
        <f t="shared" ref="K559:K561" ca="1" si="246">IF(I559&gt;0,J559*100/I559,0)</f>
        <v>99.999923747768932</v>
      </c>
      <c r="L559" s="1391"/>
      <c r="M559" s="1391"/>
      <c r="N559" s="1391"/>
      <c r="O559" s="1391"/>
      <c r="P559" s="1391"/>
      <c r="Q559" s="1314"/>
      <c r="R559" s="1314"/>
      <c r="S559" s="1314"/>
      <c r="T559" s="1314"/>
      <c r="U559" s="1314"/>
      <c r="V559" s="1314"/>
      <c r="W559" s="1314"/>
      <c r="X559" s="1314"/>
      <c r="Y559" s="1314"/>
      <c r="Z559" s="1314"/>
    </row>
    <row r="560" spans="1:26" ht="19.5">
      <c r="A560" s="1338"/>
      <c r="B560" s="1339"/>
      <c r="C560" s="1348" t="s">
        <v>236</v>
      </c>
      <c r="D560" s="1339"/>
      <c r="E560" s="1026"/>
      <c r="F560" s="1026"/>
      <c r="G560" s="1019"/>
      <c r="H560" s="764" t="s">
        <v>46</v>
      </c>
      <c r="I560" s="1030">
        <f ca="1">IFERROR(__xludf.DUMMYFUNCTION("IMPORTRANGE(""https://docs.google.com/spreadsheets/d/1QqKyyYR6Q21VydFLVH3TRQUabQu_ym0Zz7PgGX0-kHA/edit?usp=sharing"",""แผน!HH51"")"),88522)</f>
        <v>88522</v>
      </c>
      <c r="J560" s="1030">
        <f t="shared" ref="J560:J561" si="247">J562+J564+J566</f>
        <v>88522.492500000008</v>
      </c>
      <c r="K560" s="1174">
        <f t="shared" ca="1" si="246"/>
        <v>100.00055635887124</v>
      </c>
      <c r="L560" s="1010"/>
      <c r="M560" s="1010"/>
      <c r="N560" s="1010"/>
      <c r="O560" s="1010"/>
      <c r="P560" s="1010"/>
      <c r="Q560" s="1314"/>
      <c r="R560" s="1314"/>
      <c r="S560" s="1314"/>
      <c r="T560" s="1314"/>
      <c r="U560" s="1314"/>
      <c r="V560" s="1314"/>
      <c r="W560" s="1314"/>
      <c r="X560" s="1314"/>
      <c r="Y560" s="1314"/>
      <c r="Z560" s="1314"/>
    </row>
    <row r="561" spans="1:26" ht="19.5">
      <c r="A561" s="1338"/>
      <c r="B561" s="1339"/>
      <c r="C561" s="1339"/>
      <c r="D561" s="1026"/>
      <c r="E561" s="1026"/>
      <c r="F561" s="1026"/>
      <c r="G561" s="1019"/>
      <c r="H561" s="764" t="s">
        <v>34</v>
      </c>
      <c r="I561" s="1030">
        <f ca="1">IFERROR(__xludf.DUMMYFUNCTION("IMPORTRANGE(""https://docs.google.com/spreadsheets/d/1QqKyyYR6Q21VydFLVH3TRQUabQu_ym0Zz7PgGX0-kHA/edit?usp=sharing"",""แผน!HG51"")"),8669)</f>
        <v>8669</v>
      </c>
      <c r="J561" s="1030">
        <f t="shared" si="247"/>
        <v>8669</v>
      </c>
      <c r="K561" s="1174">
        <f t="shared" ca="1" si="246"/>
        <v>100</v>
      </c>
      <c r="L561" s="1010"/>
      <c r="M561" s="1010"/>
      <c r="N561" s="1010"/>
      <c r="O561" s="1010"/>
      <c r="P561" s="1010"/>
      <c r="Q561" s="1314"/>
      <c r="R561" s="1314"/>
      <c r="S561" s="1314"/>
      <c r="T561" s="1314"/>
      <c r="U561" s="1314"/>
      <c r="V561" s="1314"/>
      <c r="W561" s="1314"/>
      <c r="X561" s="1314"/>
      <c r="Y561" s="1314"/>
      <c r="Z561" s="1314"/>
    </row>
    <row r="562" spans="1:26" ht="18.75">
      <c r="A562" s="1338"/>
      <c r="B562" s="1339"/>
      <c r="C562" s="1339"/>
      <c r="D562" s="1026" t="s">
        <v>237</v>
      </c>
      <c r="E562" s="1026"/>
      <c r="F562" s="1026"/>
      <c r="G562" s="1019"/>
      <c r="H562" s="761" t="s">
        <v>46</v>
      </c>
      <c r="I562" s="1009"/>
      <c r="J562" s="1024">
        <v>63806</v>
      </c>
      <c r="K562" s="1010"/>
      <c r="L562" s="1010"/>
      <c r="M562" s="1010"/>
      <c r="N562" s="1010"/>
      <c r="O562" s="1010"/>
      <c r="P562" s="1010"/>
      <c r="Q562" s="1314"/>
      <c r="R562" s="1314"/>
      <c r="S562" s="1314"/>
      <c r="T562" s="1314"/>
      <c r="U562" s="1314"/>
      <c r="V562" s="1314"/>
      <c r="W562" s="1314"/>
      <c r="X562" s="1314"/>
      <c r="Y562" s="1314"/>
      <c r="Z562" s="1314"/>
    </row>
    <row r="563" spans="1:26" ht="18.75">
      <c r="A563" s="1338"/>
      <c r="B563" s="1339"/>
      <c r="C563" s="1339"/>
      <c r="D563" s="1339"/>
      <c r="E563" s="1026"/>
      <c r="F563" s="1026"/>
      <c r="G563" s="1019"/>
      <c r="H563" s="761" t="s">
        <v>34</v>
      </c>
      <c r="I563" s="1009"/>
      <c r="J563" s="1024">
        <v>6638</v>
      </c>
      <c r="K563" s="1010"/>
      <c r="L563" s="1010"/>
      <c r="M563" s="1010"/>
      <c r="N563" s="1010"/>
      <c r="O563" s="1010"/>
      <c r="P563" s="1010"/>
      <c r="Q563" s="1314"/>
      <c r="R563" s="1314"/>
      <c r="S563" s="1314"/>
      <c r="T563" s="1314"/>
      <c r="U563" s="1314"/>
      <c r="V563" s="1314"/>
      <c r="W563" s="1314"/>
      <c r="X563" s="1314"/>
      <c r="Y563" s="1314"/>
      <c r="Z563" s="1314"/>
    </row>
    <row r="564" spans="1:26" ht="18.75">
      <c r="A564" s="1338"/>
      <c r="B564" s="1339"/>
      <c r="C564" s="1339"/>
      <c r="D564" s="1026" t="s">
        <v>238</v>
      </c>
      <c r="E564" s="1026"/>
      <c r="F564" s="1026"/>
      <c r="G564" s="1019"/>
      <c r="H564" s="761" t="s">
        <v>46</v>
      </c>
      <c r="I564" s="1009"/>
      <c r="J564" s="1024">
        <v>20079.0975</v>
      </c>
      <c r="K564" s="1010"/>
      <c r="L564" s="1010"/>
      <c r="M564" s="1010"/>
      <c r="N564" s="1010"/>
      <c r="O564" s="1010"/>
      <c r="P564" s="1010"/>
      <c r="Q564" s="1314"/>
      <c r="R564" s="1314"/>
      <c r="S564" s="1314"/>
      <c r="T564" s="1314"/>
      <c r="U564" s="1314"/>
      <c r="V564" s="1314"/>
      <c r="W564" s="1314"/>
      <c r="X564" s="1314"/>
      <c r="Y564" s="1314"/>
      <c r="Z564" s="1314"/>
    </row>
    <row r="565" spans="1:26" ht="18.75">
      <c r="A565" s="1338"/>
      <c r="B565" s="1339"/>
      <c r="C565" s="1339"/>
      <c r="D565" s="1026"/>
      <c r="E565" s="1026"/>
      <c r="F565" s="1026"/>
      <c r="G565" s="1019"/>
      <c r="H565" s="761" t="s">
        <v>34</v>
      </c>
      <c r="I565" s="1009"/>
      <c r="J565" s="1024">
        <v>1654</v>
      </c>
      <c r="K565" s="1010"/>
      <c r="L565" s="1010"/>
      <c r="M565" s="1010"/>
      <c r="N565" s="1010"/>
      <c r="O565" s="1010"/>
      <c r="P565" s="1010"/>
      <c r="Q565" s="1314"/>
      <c r="R565" s="1314"/>
      <c r="S565" s="1314"/>
      <c r="T565" s="1314"/>
      <c r="U565" s="1314"/>
      <c r="V565" s="1314"/>
      <c r="W565" s="1314"/>
      <c r="X565" s="1314"/>
      <c r="Y565" s="1314"/>
      <c r="Z565" s="1314"/>
    </row>
    <row r="566" spans="1:26" ht="18.75">
      <c r="A566" s="1338"/>
      <c r="B566" s="1339"/>
      <c r="C566" s="1339"/>
      <c r="D566" s="1026" t="s">
        <v>239</v>
      </c>
      <c r="E566" s="1026"/>
      <c r="F566" s="1026"/>
      <c r="G566" s="1019"/>
      <c r="H566" s="761" t="s">
        <v>46</v>
      </c>
      <c r="I566" s="1009"/>
      <c r="J566" s="1024">
        <v>4637.3950000000004</v>
      </c>
      <c r="K566" s="1010"/>
      <c r="L566" s="1010"/>
      <c r="M566" s="1010"/>
      <c r="N566" s="1010"/>
      <c r="O566" s="1010"/>
      <c r="P566" s="1010"/>
      <c r="Q566" s="1314"/>
      <c r="R566" s="1314"/>
      <c r="S566" s="1314"/>
      <c r="T566" s="1314"/>
      <c r="U566" s="1314"/>
      <c r="V566" s="1314"/>
      <c r="W566" s="1314"/>
      <c r="X566" s="1314"/>
      <c r="Y566" s="1314"/>
      <c r="Z566" s="1314"/>
    </row>
    <row r="567" spans="1:26" ht="18.75">
      <c r="A567" s="1338"/>
      <c r="B567" s="1339"/>
      <c r="C567" s="1339"/>
      <c r="D567" s="1026"/>
      <c r="E567" s="1026"/>
      <c r="F567" s="1026"/>
      <c r="G567" s="1019"/>
      <c r="H567" s="761" t="s">
        <v>34</v>
      </c>
      <c r="I567" s="1009"/>
      <c r="J567" s="1024">
        <v>377</v>
      </c>
      <c r="K567" s="1010"/>
      <c r="L567" s="1010"/>
      <c r="M567" s="1010"/>
      <c r="N567" s="1010"/>
      <c r="O567" s="1010"/>
      <c r="P567" s="1010"/>
      <c r="Q567" s="1314"/>
      <c r="R567" s="1314"/>
      <c r="S567" s="1314"/>
      <c r="T567" s="1314"/>
      <c r="U567" s="1314"/>
      <c r="V567" s="1314"/>
      <c r="W567" s="1314"/>
      <c r="X567" s="1314"/>
      <c r="Y567" s="1314"/>
      <c r="Z567" s="1314"/>
    </row>
    <row r="568" spans="1:26" ht="19.5">
      <c r="A568" s="1338"/>
      <c r="B568" s="1339"/>
      <c r="C568" s="1348" t="s">
        <v>240</v>
      </c>
      <c r="D568" s="1026"/>
      <c r="E568" s="1026"/>
      <c r="F568" s="1026"/>
      <c r="G568" s="1019"/>
      <c r="H568" s="764" t="s">
        <v>46</v>
      </c>
      <c r="I568" s="1030">
        <f ca="1">IFERROR(__xludf.DUMMYFUNCTION("IMPORTRANGE(""https://docs.google.com/spreadsheets/d/1QqKyyYR6Q21VydFLVH3TRQUabQu_ym0Zz7PgGX0-kHA/edit?usp=sharing"",""แผน!HH51"")"),88522)</f>
        <v>88522</v>
      </c>
      <c r="J568" s="1031">
        <f t="shared" ref="J568:J569" si="248">J570+J572+J574</f>
        <v>88522</v>
      </c>
      <c r="K568" s="1174">
        <f t="shared" ref="K568:K569" ca="1" si="249">IF(I568&gt;0,J568*100/I568,0)</f>
        <v>100</v>
      </c>
      <c r="L568" s="1010"/>
      <c r="M568" s="1010"/>
      <c r="N568" s="1010"/>
      <c r="O568" s="1010"/>
      <c r="P568" s="1010"/>
      <c r="Q568" s="1314"/>
      <c r="R568" s="1314"/>
      <c r="S568" s="1314"/>
      <c r="T568" s="1314"/>
      <c r="U568" s="1314"/>
      <c r="V568" s="1314"/>
      <c r="W568" s="1314"/>
      <c r="X568" s="1314"/>
      <c r="Y568" s="1314"/>
      <c r="Z568" s="1314"/>
    </row>
    <row r="569" spans="1:26" ht="19.5">
      <c r="A569" s="1338"/>
      <c r="B569" s="1339"/>
      <c r="C569" s="1339"/>
      <c r="D569" s="1339"/>
      <c r="E569" s="1026"/>
      <c r="F569" s="1026"/>
      <c r="G569" s="1019"/>
      <c r="H569" s="764" t="s">
        <v>34</v>
      </c>
      <c r="I569" s="1030">
        <f ca="1">IFERROR(__xludf.DUMMYFUNCTION("IMPORTRANGE(""https://docs.google.com/spreadsheets/d/1QqKyyYR6Q21VydFLVH3TRQUabQu_ym0Zz7PgGX0-kHA/edit?usp=sharing"",""แผน!HG51"")"),8669)</f>
        <v>8669</v>
      </c>
      <c r="J569" s="1031">
        <f t="shared" si="248"/>
        <v>8669</v>
      </c>
      <c r="K569" s="1174">
        <f t="shared" ca="1" si="249"/>
        <v>100</v>
      </c>
      <c r="L569" s="1010"/>
      <c r="M569" s="1010"/>
      <c r="N569" s="1010"/>
      <c r="O569" s="1010"/>
      <c r="P569" s="1010"/>
      <c r="Q569" s="1314"/>
      <c r="R569" s="1314"/>
      <c r="S569" s="1314"/>
      <c r="T569" s="1314"/>
      <c r="U569" s="1314"/>
      <c r="V569" s="1314"/>
      <c r="W569" s="1314"/>
      <c r="X569" s="1314"/>
      <c r="Y569" s="1314"/>
      <c r="Z569" s="1314"/>
    </row>
    <row r="570" spans="1:26" ht="18.75">
      <c r="A570" s="1338"/>
      <c r="B570" s="1339"/>
      <c r="C570" s="1339"/>
      <c r="D570" s="1026" t="s">
        <v>241</v>
      </c>
      <c r="E570" s="1339"/>
      <c r="F570" s="1026"/>
      <c r="G570" s="1019"/>
      <c r="H570" s="761" t="s">
        <v>46</v>
      </c>
      <c r="I570" s="1009"/>
      <c r="J570" s="1024">
        <v>68458</v>
      </c>
      <c r="K570" s="1010"/>
      <c r="L570" s="1010"/>
      <c r="M570" s="1010"/>
      <c r="N570" s="1010"/>
      <c r="O570" s="1010"/>
      <c r="P570" s="1010"/>
      <c r="Q570" s="1314"/>
      <c r="R570" s="1314"/>
      <c r="S570" s="1314"/>
      <c r="T570" s="1314"/>
      <c r="U570" s="1314"/>
      <c r="V570" s="1314"/>
      <c r="W570" s="1314"/>
      <c r="X570" s="1314"/>
      <c r="Y570" s="1314"/>
      <c r="Z570" s="1314"/>
    </row>
    <row r="571" spans="1:26" ht="18.75">
      <c r="A571" s="1338"/>
      <c r="B571" s="1339"/>
      <c r="C571" s="1339"/>
      <c r="D571" s="1339"/>
      <c r="E571" s="1026"/>
      <c r="F571" s="1026"/>
      <c r="G571" s="1019"/>
      <c r="H571" s="761" t="s">
        <v>34</v>
      </c>
      <c r="I571" s="1009"/>
      <c r="J571" s="1024">
        <v>7114</v>
      </c>
      <c r="K571" s="1010"/>
      <c r="L571" s="1010"/>
      <c r="M571" s="1010"/>
      <c r="N571" s="1010"/>
      <c r="O571" s="1010"/>
      <c r="P571" s="1010"/>
      <c r="Q571" s="1314"/>
      <c r="R571" s="1314"/>
      <c r="S571" s="1314"/>
      <c r="T571" s="1314"/>
      <c r="U571" s="1314"/>
      <c r="V571" s="1314"/>
      <c r="W571" s="1314"/>
      <c r="X571" s="1314"/>
      <c r="Y571" s="1314"/>
      <c r="Z571" s="1314"/>
    </row>
    <row r="572" spans="1:26" ht="18.75">
      <c r="A572" s="1338"/>
      <c r="B572" s="1339"/>
      <c r="C572" s="1339"/>
      <c r="D572" s="1026" t="s">
        <v>242</v>
      </c>
      <c r="E572" s="1026"/>
      <c r="F572" s="1026"/>
      <c r="G572" s="1019"/>
      <c r="H572" s="761" t="s">
        <v>46</v>
      </c>
      <c r="I572" s="1009"/>
      <c r="J572" s="1024">
        <v>15430</v>
      </c>
      <c r="K572" s="1010"/>
      <c r="L572" s="1010"/>
      <c r="M572" s="1010"/>
      <c r="N572" s="1010"/>
      <c r="O572" s="1010"/>
      <c r="P572" s="1010"/>
      <c r="Q572" s="1314"/>
      <c r="R572" s="1314"/>
      <c r="S572" s="1314"/>
      <c r="T572" s="1314"/>
      <c r="U572" s="1314"/>
      <c r="V572" s="1314"/>
      <c r="W572" s="1314"/>
      <c r="X572" s="1314"/>
      <c r="Y572" s="1314"/>
      <c r="Z572" s="1314"/>
    </row>
    <row r="573" spans="1:26" ht="18.75">
      <c r="A573" s="1338"/>
      <c r="B573" s="1339"/>
      <c r="C573" s="1339"/>
      <c r="D573" s="1026"/>
      <c r="E573" s="1026"/>
      <c r="F573" s="1026"/>
      <c r="G573" s="1019"/>
      <c r="H573" s="761" t="s">
        <v>34</v>
      </c>
      <c r="I573" s="1009"/>
      <c r="J573" s="1024">
        <v>1142</v>
      </c>
      <c r="K573" s="1010"/>
      <c r="L573" s="1010"/>
      <c r="M573" s="1010"/>
      <c r="N573" s="1010"/>
      <c r="O573" s="1010"/>
      <c r="P573" s="1010"/>
      <c r="Q573" s="1314"/>
      <c r="R573" s="1314"/>
      <c r="S573" s="1314"/>
      <c r="T573" s="1314"/>
      <c r="U573" s="1314"/>
      <c r="V573" s="1314"/>
      <c r="W573" s="1314"/>
      <c r="X573" s="1314"/>
      <c r="Y573" s="1314"/>
      <c r="Z573" s="1314"/>
    </row>
    <row r="574" spans="1:26" ht="18.75">
      <c r="A574" s="1338"/>
      <c r="B574" s="1339"/>
      <c r="C574" s="1339"/>
      <c r="D574" s="1026" t="s">
        <v>243</v>
      </c>
      <c r="E574" s="1026"/>
      <c r="F574" s="1026"/>
      <c r="G574" s="1019"/>
      <c r="H574" s="761" t="s">
        <v>46</v>
      </c>
      <c r="I574" s="1009"/>
      <c r="J574" s="1024">
        <v>4634</v>
      </c>
      <c r="K574" s="1010"/>
      <c r="L574" s="1010"/>
      <c r="M574" s="1010"/>
      <c r="N574" s="1010"/>
      <c r="O574" s="1010"/>
      <c r="P574" s="1010"/>
      <c r="Q574" s="1314"/>
      <c r="R574" s="1314"/>
      <c r="S574" s="1314"/>
      <c r="T574" s="1314"/>
      <c r="U574" s="1314"/>
      <c r="V574" s="1314"/>
      <c r="W574" s="1314"/>
      <c r="X574" s="1314"/>
      <c r="Y574" s="1314"/>
      <c r="Z574" s="1314"/>
    </row>
    <row r="575" spans="1:26" ht="18.75">
      <c r="A575" s="1338"/>
      <c r="B575" s="1339"/>
      <c r="C575" s="1339"/>
      <c r="D575" s="1339"/>
      <c r="E575" s="1026"/>
      <c r="F575" s="1026"/>
      <c r="G575" s="1019"/>
      <c r="H575" s="761" t="s">
        <v>34</v>
      </c>
      <c r="I575" s="1009"/>
      <c r="J575" s="1024">
        <v>413</v>
      </c>
      <c r="K575" s="1010"/>
      <c r="L575" s="1010"/>
      <c r="M575" s="1010"/>
      <c r="N575" s="1010"/>
      <c r="O575" s="1010"/>
      <c r="P575" s="1010"/>
      <c r="Q575" s="1314"/>
      <c r="R575" s="1314"/>
      <c r="S575" s="1314"/>
      <c r="T575" s="1314"/>
      <c r="U575" s="1314"/>
      <c r="V575" s="1314"/>
      <c r="W575" s="1314"/>
      <c r="X575" s="1314"/>
      <c r="Y575" s="1314"/>
      <c r="Z575" s="1314"/>
    </row>
    <row r="576" spans="1:26" ht="19.5">
      <c r="A576" s="1338"/>
      <c r="B576" s="1339"/>
      <c r="C576" s="1348" t="s">
        <v>244</v>
      </c>
      <c r="D576" s="1339"/>
      <c r="E576" s="1339"/>
      <c r="F576" s="1026"/>
      <c r="G576" s="1019"/>
      <c r="H576" s="764" t="s">
        <v>46</v>
      </c>
      <c r="I576" s="1030">
        <f ca="1">IFERROR(__xludf.DUMMYFUNCTION("IMPORTRANGE(""https://docs.google.com/spreadsheets/d/1QqKyyYR6Q21VydFLVH3TRQUabQu_ym0Zz7PgGX0-kHA/edit?usp=sharing"",""แผน!HH51"")"),88522)</f>
        <v>88522</v>
      </c>
      <c r="J576" s="1031">
        <f t="shared" ref="J576:J577" si="250">J578+J580+J582+J588+J590</f>
        <v>88521.93250000001</v>
      </c>
      <c r="K576" s="1174">
        <f t="shared" ref="K576:K577" ca="1" si="251">IF(I576&gt;0,J576*100/I576,0)</f>
        <v>99.999923747768932</v>
      </c>
      <c r="L576" s="1010"/>
      <c r="M576" s="1010"/>
      <c r="N576" s="1010"/>
      <c r="O576" s="1010"/>
      <c r="P576" s="1010"/>
      <c r="Q576" s="1314"/>
      <c r="R576" s="1314"/>
      <c r="S576" s="1314"/>
      <c r="T576" s="1314"/>
      <c r="U576" s="1314"/>
      <c r="V576" s="1314"/>
      <c r="W576" s="1314"/>
      <c r="X576" s="1314"/>
      <c r="Y576" s="1314"/>
      <c r="Z576" s="1314"/>
    </row>
    <row r="577" spans="1:26" ht="19.5">
      <c r="A577" s="1338"/>
      <c r="B577" s="1339"/>
      <c r="C577" s="1339"/>
      <c r="D577" s="1339"/>
      <c r="E577" s="1026"/>
      <c r="F577" s="1026"/>
      <c r="G577" s="1019"/>
      <c r="H577" s="764" t="s">
        <v>34</v>
      </c>
      <c r="I577" s="1030">
        <f ca="1">IFERROR(__xludf.DUMMYFUNCTION("IMPORTRANGE(""https://docs.google.com/spreadsheets/d/1QqKyyYR6Q21VydFLVH3TRQUabQu_ym0Zz7PgGX0-kHA/edit?usp=sharing"",""แผน!HG51"")"),8669)</f>
        <v>8669</v>
      </c>
      <c r="J577" s="1031">
        <f t="shared" si="250"/>
        <v>8669</v>
      </c>
      <c r="K577" s="1174">
        <f t="shared" ca="1" si="251"/>
        <v>100</v>
      </c>
      <c r="L577" s="1010"/>
      <c r="M577" s="1010"/>
      <c r="N577" s="1010"/>
      <c r="O577" s="1010"/>
      <c r="P577" s="1010"/>
      <c r="Q577" s="1314"/>
      <c r="R577" s="1314"/>
      <c r="S577" s="1314"/>
      <c r="T577" s="1314"/>
      <c r="U577" s="1314"/>
      <c r="V577" s="1314"/>
      <c r="W577" s="1314"/>
      <c r="X577" s="1314"/>
      <c r="Y577" s="1314"/>
      <c r="Z577" s="1314"/>
    </row>
    <row r="578" spans="1:26" ht="18.75">
      <c r="A578" s="1338"/>
      <c r="B578" s="1339"/>
      <c r="C578" s="1339"/>
      <c r="D578" s="1026" t="s">
        <v>245</v>
      </c>
      <c r="E578" s="1026"/>
      <c r="F578" s="1026"/>
      <c r="G578" s="1019"/>
      <c r="H578" s="761" t="s">
        <v>46</v>
      </c>
      <c r="I578" s="1009"/>
      <c r="J578" s="1024">
        <v>68515.537500000006</v>
      </c>
      <c r="K578" s="1010"/>
      <c r="L578" s="1010"/>
      <c r="M578" s="1010"/>
      <c r="N578" s="1010"/>
      <c r="O578" s="1010"/>
      <c r="P578" s="1010"/>
      <c r="Q578" s="1314"/>
      <c r="R578" s="1314"/>
      <c r="S578" s="1314"/>
      <c r="T578" s="1314"/>
      <c r="U578" s="1314"/>
      <c r="V578" s="1314"/>
      <c r="W578" s="1314"/>
      <c r="X578" s="1314"/>
      <c r="Y578" s="1314"/>
      <c r="Z578" s="1314"/>
    </row>
    <row r="579" spans="1:26" ht="18.75">
      <c r="A579" s="1338"/>
      <c r="B579" s="1339"/>
      <c r="C579" s="1339"/>
      <c r="D579" s="1339"/>
      <c r="E579" s="1026"/>
      <c r="F579" s="1026"/>
      <c r="G579" s="1019"/>
      <c r="H579" s="761" t="s">
        <v>34</v>
      </c>
      <c r="I579" s="1009"/>
      <c r="J579" s="1024">
        <v>7120</v>
      </c>
      <c r="K579" s="1010"/>
      <c r="L579" s="1010"/>
      <c r="M579" s="1010"/>
      <c r="N579" s="1010"/>
      <c r="O579" s="1010"/>
      <c r="P579" s="1010"/>
      <c r="Q579" s="1314"/>
      <c r="R579" s="1314"/>
      <c r="S579" s="1314"/>
      <c r="T579" s="1314"/>
      <c r="U579" s="1314"/>
      <c r="V579" s="1314"/>
      <c r="W579" s="1314"/>
      <c r="X579" s="1314"/>
      <c r="Y579" s="1314"/>
      <c r="Z579" s="1314"/>
    </row>
    <row r="580" spans="1:26" ht="18.75">
      <c r="A580" s="1338"/>
      <c r="B580" s="1339"/>
      <c r="C580" s="1339"/>
      <c r="D580" s="1026" t="s">
        <v>246</v>
      </c>
      <c r="E580" s="1026"/>
      <c r="F580" s="1026"/>
      <c r="G580" s="1019"/>
      <c r="H580" s="761" t="s">
        <v>46</v>
      </c>
      <c r="I580" s="1009"/>
      <c r="J580" s="1024">
        <v>14993</v>
      </c>
      <c r="K580" s="1010"/>
      <c r="L580" s="1010"/>
      <c r="M580" s="1010"/>
      <c r="N580" s="1010"/>
      <c r="O580" s="1010"/>
      <c r="P580" s="1010"/>
      <c r="Q580" s="1314"/>
      <c r="R580" s="1314"/>
      <c r="S580" s="1314"/>
      <c r="T580" s="1314"/>
      <c r="U580" s="1314"/>
      <c r="V580" s="1314"/>
      <c r="W580" s="1314"/>
      <c r="X580" s="1314"/>
      <c r="Y580" s="1314"/>
      <c r="Z580" s="1314"/>
    </row>
    <row r="581" spans="1:26" ht="18.75">
      <c r="A581" s="1338"/>
      <c r="B581" s="1339"/>
      <c r="C581" s="1339"/>
      <c r="D581" s="1339"/>
      <c r="E581" s="1026"/>
      <c r="F581" s="1026"/>
      <c r="G581" s="1019"/>
      <c r="H581" s="761" t="s">
        <v>34</v>
      </c>
      <c r="I581" s="1009"/>
      <c r="J581" s="1024">
        <v>1172</v>
      </c>
      <c r="K581" s="1010"/>
      <c r="L581" s="1010"/>
      <c r="M581" s="1010"/>
      <c r="N581" s="1010"/>
      <c r="O581" s="1010"/>
      <c r="P581" s="1010"/>
      <c r="Q581" s="1314"/>
      <c r="R581" s="1314"/>
      <c r="S581" s="1314"/>
      <c r="T581" s="1314"/>
      <c r="U581" s="1314"/>
      <c r="V581" s="1314"/>
      <c r="W581" s="1314"/>
      <c r="X581" s="1314"/>
      <c r="Y581" s="1314"/>
      <c r="Z581" s="1314"/>
    </row>
    <row r="582" spans="1:26" ht="19.5">
      <c r="A582" s="1338"/>
      <c r="B582" s="1339"/>
      <c r="C582" s="1339"/>
      <c r="D582" s="1026" t="s">
        <v>247</v>
      </c>
      <c r="E582" s="1026"/>
      <c r="F582" s="1026"/>
      <c r="G582" s="1019"/>
      <c r="H582" s="761" t="s">
        <v>46</v>
      </c>
      <c r="I582" s="1009"/>
      <c r="J582" s="1031">
        <f t="shared" ref="J582:J583" si="252">J584+J586</f>
        <v>5013.3950000000004</v>
      </c>
      <c r="K582" s="1174"/>
      <c r="L582" s="1010"/>
      <c r="M582" s="1010"/>
      <c r="N582" s="1010"/>
      <c r="O582" s="1010"/>
      <c r="P582" s="1010"/>
      <c r="Q582" s="1314"/>
      <c r="R582" s="1314"/>
      <c r="S582" s="1314"/>
      <c r="T582" s="1314"/>
      <c r="U582" s="1314"/>
      <c r="V582" s="1314"/>
      <c r="W582" s="1314"/>
      <c r="X582" s="1314"/>
      <c r="Y582" s="1314"/>
      <c r="Z582" s="1314"/>
    </row>
    <row r="583" spans="1:26" ht="19.5">
      <c r="A583" s="1338"/>
      <c r="B583" s="1339"/>
      <c r="C583" s="1339"/>
      <c r="D583" s="1339"/>
      <c r="E583" s="1026"/>
      <c r="F583" s="1026"/>
      <c r="G583" s="1019"/>
      <c r="H583" s="761" t="s">
        <v>34</v>
      </c>
      <c r="I583" s="1009"/>
      <c r="J583" s="1031">
        <f t="shared" si="252"/>
        <v>377</v>
      </c>
      <c r="K583" s="1174"/>
      <c r="L583" s="1010"/>
      <c r="M583" s="1010"/>
      <c r="N583" s="1010"/>
      <c r="O583" s="1010"/>
      <c r="P583" s="1010"/>
      <c r="Q583" s="1314"/>
      <c r="R583" s="1314"/>
      <c r="S583" s="1314"/>
      <c r="T583" s="1314"/>
      <c r="U583" s="1314"/>
      <c r="V583" s="1314"/>
      <c r="W583" s="1314"/>
      <c r="X583" s="1314"/>
      <c r="Y583" s="1314"/>
      <c r="Z583" s="1314"/>
    </row>
    <row r="584" spans="1:26" ht="18.75">
      <c r="A584" s="1338"/>
      <c r="B584" s="1339"/>
      <c r="C584" s="1339"/>
      <c r="D584" s="1339"/>
      <c r="E584" s="1026" t="s">
        <v>248</v>
      </c>
      <c r="F584" s="1026"/>
      <c r="G584" s="1019"/>
      <c r="H584" s="761" t="s">
        <v>46</v>
      </c>
      <c r="I584" s="1009"/>
      <c r="J584" s="1024">
        <v>5003.3950000000004</v>
      </c>
      <c r="K584" s="1010"/>
      <c r="L584" s="1010"/>
      <c r="M584" s="1010"/>
      <c r="N584" s="1010"/>
      <c r="O584" s="1010"/>
      <c r="P584" s="1010"/>
      <c r="Q584" s="1314"/>
      <c r="R584" s="1314"/>
      <c r="S584" s="1314"/>
      <c r="T584" s="1314"/>
      <c r="U584" s="1314"/>
      <c r="V584" s="1314"/>
      <c r="W584" s="1314"/>
      <c r="X584" s="1314"/>
      <c r="Y584" s="1314"/>
      <c r="Z584" s="1314"/>
    </row>
    <row r="585" spans="1:26" ht="18.75">
      <c r="A585" s="1338"/>
      <c r="B585" s="1339"/>
      <c r="C585" s="1339"/>
      <c r="D585" s="1339"/>
      <c r="E585" s="1026"/>
      <c r="F585" s="1026"/>
      <c r="G585" s="1019"/>
      <c r="H585" s="761" t="s">
        <v>34</v>
      </c>
      <c r="I585" s="1009"/>
      <c r="J585" s="1024">
        <v>376</v>
      </c>
      <c r="K585" s="1010"/>
      <c r="L585" s="1010"/>
      <c r="M585" s="1010"/>
      <c r="N585" s="1010"/>
      <c r="O585" s="1010"/>
      <c r="P585" s="1010"/>
      <c r="Q585" s="1314"/>
      <c r="R585" s="1314"/>
      <c r="S585" s="1314"/>
      <c r="T585" s="1314"/>
      <c r="U585" s="1314"/>
      <c r="V585" s="1314"/>
      <c r="W585" s="1314"/>
      <c r="X585" s="1314"/>
      <c r="Y585" s="1314"/>
      <c r="Z585" s="1314"/>
    </row>
    <row r="586" spans="1:26" ht="18.75">
      <c r="A586" s="1338"/>
      <c r="B586" s="1339"/>
      <c r="C586" s="1339"/>
      <c r="D586" s="1339"/>
      <c r="E586" s="1026" t="s">
        <v>249</v>
      </c>
      <c r="F586" s="1026"/>
      <c r="G586" s="1019"/>
      <c r="H586" s="761" t="s">
        <v>46</v>
      </c>
      <c r="I586" s="1009"/>
      <c r="J586" s="1024">
        <v>10</v>
      </c>
      <c r="K586" s="1010"/>
      <c r="L586" s="1010"/>
      <c r="M586" s="1010"/>
      <c r="N586" s="1010"/>
      <c r="O586" s="1010"/>
      <c r="P586" s="1010"/>
      <c r="Q586" s="1314"/>
      <c r="R586" s="1314"/>
      <c r="S586" s="1314"/>
      <c r="T586" s="1314"/>
      <c r="U586" s="1314"/>
      <c r="V586" s="1314"/>
      <c r="W586" s="1314"/>
      <c r="X586" s="1314"/>
      <c r="Y586" s="1314"/>
      <c r="Z586" s="1314"/>
    </row>
    <row r="587" spans="1:26" ht="18.75">
      <c r="A587" s="1338"/>
      <c r="B587" s="1339"/>
      <c r="C587" s="1339"/>
      <c r="D587" s="1339"/>
      <c r="E587" s="1339"/>
      <c r="F587" s="1026"/>
      <c r="G587" s="1019"/>
      <c r="H587" s="761" t="s">
        <v>34</v>
      </c>
      <c r="I587" s="1009"/>
      <c r="J587" s="1024">
        <v>1</v>
      </c>
      <c r="K587" s="1010"/>
      <c r="L587" s="1010"/>
      <c r="M587" s="1010"/>
      <c r="N587" s="1010"/>
      <c r="O587" s="1010"/>
      <c r="P587" s="1010"/>
      <c r="Q587" s="1314"/>
      <c r="R587" s="1314"/>
      <c r="S587" s="1314"/>
      <c r="T587" s="1314"/>
      <c r="U587" s="1314"/>
      <c r="V587" s="1314"/>
      <c r="W587" s="1314"/>
      <c r="X587" s="1314"/>
      <c r="Y587" s="1314"/>
      <c r="Z587" s="1314"/>
    </row>
    <row r="588" spans="1:26" ht="18.75">
      <c r="A588" s="1338"/>
      <c r="B588" s="1339"/>
      <c r="C588" s="1339"/>
      <c r="D588" s="1026" t="s">
        <v>250</v>
      </c>
      <c r="E588" s="1026"/>
      <c r="F588" s="1026"/>
      <c r="G588" s="1019"/>
      <c r="H588" s="761" t="s">
        <v>46</v>
      </c>
      <c r="I588" s="1009"/>
      <c r="J588" s="1024">
        <v>0</v>
      </c>
      <c r="K588" s="1010"/>
      <c r="L588" s="1010"/>
      <c r="M588" s="1010"/>
      <c r="N588" s="1010"/>
      <c r="O588" s="1010"/>
      <c r="P588" s="1010"/>
      <c r="Q588" s="1314"/>
      <c r="R588" s="1314"/>
      <c r="S588" s="1314"/>
      <c r="T588" s="1314"/>
      <c r="U588" s="1314"/>
      <c r="V588" s="1314"/>
      <c r="W588" s="1314"/>
      <c r="X588" s="1314"/>
      <c r="Y588" s="1314"/>
      <c r="Z588" s="1314"/>
    </row>
    <row r="589" spans="1:26" ht="18.75">
      <c r="A589" s="1338"/>
      <c r="B589" s="1339"/>
      <c r="C589" s="1339"/>
      <c r="D589" s="1339"/>
      <c r="E589" s="1339"/>
      <c r="F589" s="1026"/>
      <c r="G589" s="1019"/>
      <c r="H589" s="761" t="s">
        <v>34</v>
      </c>
      <c r="I589" s="1009"/>
      <c r="J589" s="1024">
        <v>0</v>
      </c>
      <c r="K589" s="1010"/>
      <c r="L589" s="1010"/>
      <c r="M589" s="1010"/>
      <c r="N589" s="1010"/>
      <c r="O589" s="1010"/>
      <c r="P589" s="1010"/>
      <c r="Q589" s="1314"/>
      <c r="R589" s="1314"/>
      <c r="S589" s="1314"/>
      <c r="T589" s="1314"/>
      <c r="U589" s="1314"/>
      <c r="V589" s="1314"/>
      <c r="W589" s="1314"/>
      <c r="X589" s="1314"/>
      <c r="Y589" s="1314"/>
      <c r="Z589" s="1314"/>
    </row>
    <row r="590" spans="1:26" ht="18.75">
      <c r="A590" s="1338"/>
      <c r="B590" s="1339"/>
      <c r="C590" s="1339"/>
      <c r="D590" s="1026" t="s">
        <v>251</v>
      </c>
      <c r="E590" s="1026"/>
      <c r="F590" s="1026"/>
      <c r="G590" s="1019"/>
      <c r="H590" s="761" t="s">
        <v>46</v>
      </c>
      <c r="I590" s="1009"/>
      <c r="J590" s="1024">
        <v>0</v>
      </c>
      <c r="K590" s="1010"/>
      <c r="L590" s="1010"/>
      <c r="M590" s="1010"/>
      <c r="N590" s="1010"/>
      <c r="O590" s="1010"/>
      <c r="P590" s="1010"/>
      <c r="Q590" s="1314"/>
      <c r="R590" s="1314"/>
      <c r="S590" s="1314"/>
      <c r="T590" s="1314"/>
      <c r="U590" s="1314"/>
      <c r="V590" s="1314"/>
      <c r="W590" s="1314"/>
      <c r="X590" s="1314"/>
      <c r="Y590" s="1314"/>
      <c r="Z590" s="1314"/>
    </row>
    <row r="591" spans="1:26" ht="18.75">
      <c r="A591" s="1405"/>
      <c r="B591" s="1406"/>
      <c r="C591" s="1406"/>
      <c r="D591" s="1406"/>
      <c r="E591" s="1314"/>
      <c r="F591" s="1314"/>
      <c r="G591" s="1407"/>
      <c r="H591" s="696" t="s">
        <v>34</v>
      </c>
      <c r="I591" s="1408"/>
      <c r="J591" s="1409">
        <v>0</v>
      </c>
      <c r="K591" s="1410"/>
      <c r="L591" s="1410"/>
      <c r="M591" s="1410"/>
      <c r="N591" s="1410"/>
      <c r="O591" s="1410"/>
      <c r="P591" s="1410"/>
      <c r="Q591" s="1314"/>
      <c r="R591" s="1314"/>
      <c r="S591" s="1314"/>
      <c r="T591" s="1314"/>
      <c r="U591" s="1314"/>
      <c r="V591" s="1314"/>
      <c r="W591" s="1314"/>
      <c r="X591" s="1314"/>
      <c r="Y591" s="1314"/>
      <c r="Z591" s="1314"/>
    </row>
    <row r="592" spans="1:26" ht="19.5">
      <c r="A592" s="1402"/>
      <c r="B592" s="1403" t="s">
        <v>252</v>
      </c>
      <c r="C592" s="1404"/>
      <c r="D592" s="1404"/>
      <c r="E592" s="1387"/>
      <c r="F592" s="1387"/>
      <c r="G592" s="1388"/>
      <c r="H592" s="692" t="s">
        <v>46</v>
      </c>
      <c r="I592" s="1411">
        <f t="shared" ref="I592:J592" ca="1" si="253">I593</f>
        <v>1760.88</v>
      </c>
      <c r="J592" s="1389">
        <f t="shared" si="253"/>
        <v>1.58</v>
      </c>
      <c r="K592" s="1390">
        <f t="shared" ref="K592:K594" ca="1" si="254">IF(I592&gt;0,J592*100/I592,0)</f>
        <v>8.9727863341056743E-2</v>
      </c>
      <c r="L592" s="1391"/>
      <c r="M592" s="1391"/>
      <c r="N592" s="1391"/>
      <c r="O592" s="1391"/>
      <c r="P592" s="1391"/>
      <c r="Q592" s="1314"/>
      <c r="R592" s="1314"/>
      <c r="S592" s="1314"/>
      <c r="T592" s="1314"/>
      <c r="U592" s="1314"/>
      <c r="V592" s="1314"/>
      <c r="W592" s="1314"/>
      <c r="X592" s="1314"/>
      <c r="Y592" s="1314"/>
      <c r="Z592" s="1314"/>
    </row>
    <row r="593" spans="1:26" ht="19.5">
      <c r="A593" s="1338"/>
      <c r="B593" s="1339"/>
      <c r="C593" s="1348" t="s">
        <v>253</v>
      </c>
      <c r="D593" s="1339"/>
      <c r="E593" s="1339"/>
      <c r="F593" s="1026"/>
      <c r="G593" s="1019"/>
      <c r="H593" s="764" t="s">
        <v>46</v>
      </c>
      <c r="I593" s="1412">
        <f ca="1">IFERROR(__xludf.DUMMYFUNCTION("IMPORTRANGE(""https://docs.google.com/spreadsheets/d/1QqKyyYR6Q21VydFLVH3TRQUabQu_ym0Zz7PgGX0-kHA/edit?usp=sharing"",""แผน!HJ51"")"),1760.88)</f>
        <v>1760.88</v>
      </c>
      <c r="J593" s="1030">
        <f t="shared" ref="J593:J594" si="255">J595+J603+J609</f>
        <v>1.58</v>
      </c>
      <c r="K593" s="1174">
        <f t="shared" ca="1" si="254"/>
        <v>8.9727863341056743E-2</v>
      </c>
      <c r="L593" s="1010"/>
      <c r="M593" s="1010"/>
      <c r="N593" s="1010"/>
      <c r="O593" s="1010"/>
      <c r="P593" s="1010"/>
      <c r="Q593" s="1314"/>
      <c r="R593" s="1314"/>
      <c r="S593" s="1314"/>
      <c r="T593" s="1314"/>
      <c r="U593" s="1314"/>
      <c r="V593" s="1314"/>
      <c r="W593" s="1314"/>
      <c r="X593" s="1314"/>
      <c r="Y593" s="1314"/>
      <c r="Z593" s="1314"/>
    </row>
    <row r="594" spans="1:26" ht="19.5">
      <c r="A594" s="1338"/>
      <c r="B594" s="1339"/>
      <c r="C594" s="1339"/>
      <c r="D594" s="1339"/>
      <c r="E594" s="1026"/>
      <c r="F594" s="1026"/>
      <c r="G594" s="1019"/>
      <c r="H594" s="764" t="s">
        <v>34</v>
      </c>
      <c r="I594" s="1030">
        <f ca="1">IFERROR(__xludf.DUMMYFUNCTION("IMPORTRANGE(""https://docs.google.com/spreadsheets/d/1QqKyyYR6Q21VydFLVH3TRQUabQu_ym0Zz7PgGX0-kHA/edit?usp=sharing"",""แผน!HI51"")"),128)</f>
        <v>128</v>
      </c>
      <c r="J594" s="1030">
        <f t="shared" si="255"/>
        <v>5</v>
      </c>
      <c r="K594" s="1174">
        <f t="shared" ca="1" si="254"/>
        <v>3.90625</v>
      </c>
      <c r="L594" s="1010"/>
      <c r="M594" s="1010"/>
      <c r="N594" s="1010"/>
      <c r="O594" s="1010"/>
      <c r="P594" s="1010"/>
      <c r="Q594" s="1314"/>
      <c r="R594" s="1314"/>
      <c r="S594" s="1314"/>
      <c r="T594" s="1314"/>
      <c r="U594" s="1314"/>
      <c r="V594" s="1314"/>
      <c r="W594" s="1314"/>
      <c r="X594" s="1314"/>
      <c r="Y594" s="1314"/>
      <c r="Z594" s="1314"/>
    </row>
    <row r="595" spans="1:26" ht="18.75">
      <c r="A595" s="1338"/>
      <c r="B595" s="1339"/>
      <c r="C595" s="1339" t="s">
        <v>254</v>
      </c>
      <c r="D595" s="1339"/>
      <c r="E595" s="1339"/>
      <c r="F595" s="1026"/>
      <c r="G595" s="1019"/>
      <c r="H595" s="761" t="s">
        <v>46</v>
      </c>
      <c r="I595" s="1009"/>
      <c r="J595" s="1009">
        <f t="shared" ref="J595:J596" si="256">J597+J599</f>
        <v>1.58</v>
      </c>
      <c r="K595" s="1010"/>
      <c r="L595" s="1010"/>
      <c r="M595" s="1010"/>
      <c r="N595" s="1010"/>
      <c r="O595" s="1010"/>
      <c r="P595" s="1010"/>
      <c r="Q595" s="1314"/>
      <c r="R595" s="1314"/>
      <c r="S595" s="1314"/>
      <c r="T595" s="1314"/>
      <c r="U595" s="1314"/>
      <c r="V595" s="1314"/>
      <c r="W595" s="1314"/>
      <c r="X595" s="1314"/>
      <c r="Y595" s="1314"/>
      <c r="Z595" s="1314"/>
    </row>
    <row r="596" spans="1:26" ht="18.75">
      <c r="A596" s="1338"/>
      <c r="B596" s="1339"/>
      <c r="C596" s="1339"/>
      <c r="D596" s="1339"/>
      <c r="E596" s="1026"/>
      <c r="F596" s="1026"/>
      <c r="G596" s="1019"/>
      <c r="H596" s="761" t="s">
        <v>34</v>
      </c>
      <c r="I596" s="1009"/>
      <c r="J596" s="1009">
        <f t="shared" si="256"/>
        <v>5</v>
      </c>
      <c r="K596" s="1010"/>
      <c r="L596" s="1010"/>
      <c r="M596" s="1010"/>
      <c r="N596" s="1010"/>
      <c r="O596" s="1010"/>
      <c r="P596" s="1010"/>
      <c r="Q596" s="1314"/>
      <c r="R596" s="1314"/>
      <c r="S596" s="1314"/>
      <c r="T596" s="1314"/>
      <c r="U596" s="1314"/>
      <c r="V596" s="1314"/>
      <c r="W596" s="1314"/>
      <c r="X596" s="1314"/>
      <c r="Y596" s="1314"/>
      <c r="Z596" s="1314"/>
    </row>
    <row r="597" spans="1:26" ht="18.75">
      <c r="A597" s="1338"/>
      <c r="B597" s="1339"/>
      <c r="C597" s="1339"/>
      <c r="D597" s="1082" t="s">
        <v>255</v>
      </c>
      <c r="E597" s="1026"/>
      <c r="F597" s="1026"/>
      <c r="G597" s="1019"/>
      <c r="H597" s="761" t="s">
        <v>46</v>
      </c>
      <c r="I597" s="1009"/>
      <c r="J597" s="1024">
        <v>1.58</v>
      </c>
      <c r="K597" s="1010"/>
      <c r="L597" s="1010"/>
      <c r="M597" s="1010"/>
      <c r="N597" s="1010"/>
      <c r="O597" s="1010"/>
      <c r="P597" s="1010"/>
      <c r="Q597" s="1314"/>
      <c r="R597" s="1314"/>
      <c r="S597" s="1314"/>
      <c r="T597" s="1314"/>
      <c r="U597" s="1314"/>
      <c r="V597" s="1314"/>
      <c r="W597" s="1314"/>
      <c r="X597" s="1314"/>
      <c r="Y597" s="1314"/>
      <c r="Z597" s="1314"/>
    </row>
    <row r="598" spans="1:26" ht="18.75">
      <c r="A598" s="1338"/>
      <c r="B598" s="1339"/>
      <c r="C598" s="1339"/>
      <c r="D598" s="1339"/>
      <c r="E598" s="1026"/>
      <c r="F598" s="1026"/>
      <c r="G598" s="1019"/>
      <c r="H598" s="761" t="s">
        <v>34</v>
      </c>
      <c r="I598" s="892"/>
      <c r="J598" s="1024">
        <v>5</v>
      </c>
      <c r="K598" s="1010"/>
      <c r="L598" s="1010"/>
      <c r="M598" s="1010"/>
      <c r="N598" s="1010"/>
      <c r="O598" s="1010"/>
      <c r="P598" s="1010"/>
      <c r="Q598" s="1314"/>
      <c r="R598" s="1314"/>
      <c r="S598" s="1314"/>
      <c r="T598" s="1314"/>
      <c r="U598" s="1314"/>
      <c r="V598" s="1314"/>
      <c r="W598" s="1314"/>
      <c r="X598" s="1314"/>
      <c r="Y598" s="1314"/>
      <c r="Z598" s="1314"/>
    </row>
    <row r="599" spans="1:26" ht="18.75">
      <c r="A599" s="1338"/>
      <c r="B599" s="1339"/>
      <c r="C599" s="1339"/>
      <c r="D599" s="1082" t="s">
        <v>256</v>
      </c>
      <c r="E599" s="1026"/>
      <c r="F599" s="1026"/>
      <c r="G599" s="1019"/>
      <c r="H599" s="761" t="s">
        <v>46</v>
      </c>
      <c r="I599" s="892"/>
      <c r="J599" s="1024">
        <v>0</v>
      </c>
      <c r="K599" s="1010"/>
      <c r="L599" s="1010"/>
      <c r="M599" s="1010"/>
      <c r="N599" s="1010"/>
      <c r="O599" s="1010"/>
      <c r="P599" s="1010"/>
      <c r="Q599" s="1314"/>
      <c r="R599" s="1314"/>
      <c r="S599" s="1314"/>
      <c r="T599" s="1314"/>
      <c r="U599" s="1314"/>
      <c r="V599" s="1314"/>
      <c r="W599" s="1314"/>
      <c r="X599" s="1314"/>
      <c r="Y599" s="1314"/>
      <c r="Z599" s="1314"/>
    </row>
    <row r="600" spans="1:26" ht="18.75">
      <c r="A600" s="1338"/>
      <c r="B600" s="1339"/>
      <c r="C600" s="1339"/>
      <c r="D600" s="1339"/>
      <c r="E600" s="1026"/>
      <c r="F600" s="1026"/>
      <c r="G600" s="1019"/>
      <c r="H600" s="761" t="s">
        <v>34</v>
      </c>
      <c r="I600" s="892"/>
      <c r="J600" s="1024">
        <v>0</v>
      </c>
      <c r="K600" s="1010"/>
      <c r="L600" s="1010"/>
      <c r="M600" s="1010"/>
      <c r="N600" s="1010"/>
      <c r="O600" s="1010"/>
      <c r="P600" s="1010"/>
      <c r="Q600" s="1314"/>
      <c r="R600" s="1314"/>
      <c r="S600" s="1314"/>
      <c r="T600" s="1314"/>
      <c r="U600" s="1314"/>
      <c r="V600" s="1314"/>
      <c r="W600" s="1314"/>
      <c r="X600" s="1314"/>
      <c r="Y600" s="1314"/>
      <c r="Z600" s="1314"/>
    </row>
    <row r="601" spans="1:26" ht="18.75">
      <c r="A601" s="1338"/>
      <c r="B601" s="1339"/>
      <c r="C601" s="1339"/>
      <c r="D601" s="1082" t="s">
        <v>257</v>
      </c>
      <c r="E601" s="1026"/>
      <c r="F601" s="1026"/>
      <c r="G601" s="1019"/>
      <c r="H601" s="761" t="s">
        <v>46</v>
      </c>
      <c r="I601" s="892"/>
      <c r="J601" s="1024">
        <v>0</v>
      </c>
      <c r="K601" s="1010"/>
      <c r="L601" s="1010"/>
      <c r="M601" s="1010"/>
      <c r="N601" s="1010"/>
      <c r="O601" s="1010"/>
      <c r="P601" s="1010"/>
      <c r="Q601" s="1314"/>
      <c r="R601" s="1314"/>
      <c r="S601" s="1314"/>
      <c r="T601" s="1314"/>
      <c r="U601" s="1314"/>
      <c r="V601" s="1314"/>
      <c r="W601" s="1314"/>
      <c r="X601" s="1314"/>
      <c r="Y601" s="1314"/>
      <c r="Z601" s="1314"/>
    </row>
    <row r="602" spans="1:26" ht="18.75">
      <c r="A602" s="1338"/>
      <c r="B602" s="1339"/>
      <c r="C602" s="1339"/>
      <c r="D602" s="1339"/>
      <c r="E602" s="1026"/>
      <c r="F602" s="1026"/>
      <c r="G602" s="1019"/>
      <c r="H602" s="761" t="s">
        <v>34</v>
      </c>
      <c r="I602" s="892"/>
      <c r="J602" s="1024">
        <v>0</v>
      </c>
      <c r="K602" s="1010"/>
      <c r="L602" s="1010"/>
      <c r="M602" s="1010"/>
      <c r="N602" s="1010"/>
      <c r="O602" s="1010"/>
      <c r="P602" s="1010"/>
      <c r="Q602" s="1314"/>
      <c r="R602" s="1314"/>
      <c r="S602" s="1314"/>
      <c r="T602" s="1314"/>
      <c r="U602" s="1314"/>
      <c r="V602" s="1314"/>
      <c r="W602" s="1314"/>
      <c r="X602" s="1314"/>
      <c r="Y602" s="1314"/>
      <c r="Z602" s="1314"/>
    </row>
    <row r="603" spans="1:26" ht="18.75">
      <c r="A603" s="1338"/>
      <c r="B603" s="1339"/>
      <c r="C603" s="1413" t="s">
        <v>258</v>
      </c>
      <c r="D603" s="1339"/>
      <c r="E603" s="1339"/>
      <c r="F603" s="1026"/>
      <c r="G603" s="1019"/>
      <c r="H603" s="761" t="s">
        <v>46</v>
      </c>
      <c r="I603" s="892"/>
      <c r="J603" s="892">
        <f t="shared" ref="J603:J604" si="257">J605+J607</f>
        <v>0</v>
      </c>
      <c r="K603" s="1010"/>
      <c r="L603" s="1010"/>
      <c r="M603" s="1010"/>
      <c r="N603" s="1010"/>
      <c r="O603" s="1010"/>
      <c r="P603" s="1010"/>
      <c r="Q603" s="1314"/>
      <c r="R603" s="1314"/>
      <c r="S603" s="1314"/>
      <c r="T603" s="1314"/>
      <c r="U603" s="1314"/>
      <c r="V603" s="1314"/>
      <c r="W603" s="1314"/>
      <c r="X603" s="1314"/>
      <c r="Y603" s="1314"/>
      <c r="Z603" s="1314"/>
    </row>
    <row r="604" spans="1:26" ht="18.75">
      <c r="A604" s="1338"/>
      <c r="B604" s="1339"/>
      <c r="C604" s="1339"/>
      <c r="D604" s="1339"/>
      <c r="E604" s="1026"/>
      <c r="F604" s="1026"/>
      <c r="G604" s="1019"/>
      <c r="H604" s="761" t="s">
        <v>34</v>
      </c>
      <c r="I604" s="892"/>
      <c r="J604" s="892">
        <f t="shared" si="257"/>
        <v>0</v>
      </c>
      <c r="K604" s="1010"/>
      <c r="L604" s="1010"/>
      <c r="M604" s="1010"/>
      <c r="N604" s="1010"/>
      <c r="O604" s="1010"/>
      <c r="P604" s="1010"/>
      <c r="Q604" s="1314"/>
      <c r="R604" s="1314"/>
      <c r="S604" s="1314"/>
      <c r="T604" s="1314"/>
      <c r="U604" s="1314"/>
      <c r="V604" s="1314"/>
      <c r="W604" s="1314"/>
      <c r="X604" s="1314"/>
      <c r="Y604" s="1314"/>
      <c r="Z604" s="1314"/>
    </row>
    <row r="605" spans="1:26" ht="18.75">
      <c r="A605" s="1338"/>
      <c r="B605" s="1339"/>
      <c r="C605" s="1339"/>
      <c r="D605" s="1413" t="s">
        <v>259</v>
      </c>
      <c r="E605" s="1026"/>
      <c r="F605" s="1026"/>
      <c r="G605" s="1019"/>
      <c r="H605" s="761" t="s">
        <v>46</v>
      </c>
      <c r="I605" s="892"/>
      <c r="J605" s="1024">
        <v>0</v>
      </c>
      <c r="K605" s="1010"/>
      <c r="L605" s="1010"/>
      <c r="M605" s="1010"/>
      <c r="N605" s="1010"/>
      <c r="O605" s="1010"/>
      <c r="P605" s="1010"/>
      <c r="Q605" s="1314"/>
      <c r="R605" s="1314"/>
      <c r="S605" s="1314"/>
      <c r="T605" s="1314"/>
      <c r="U605" s="1314"/>
      <c r="V605" s="1314"/>
      <c r="W605" s="1314"/>
      <c r="X605" s="1314"/>
      <c r="Y605" s="1314"/>
      <c r="Z605" s="1314"/>
    </row>
    <row r="606" spans="1:26" ht="18.75">
      <c r="A606" s="1338"/>
      <c r="B606" s="1339"/>
      <c r="C606" s="1339"/>
      <c r="D606" s="1339"/>
      <c r="E606" s="1339"/>
      <c r="F606" s="1026"/>
      <c r="G606" s="1019"/>
      <c r="H606" s="761" t="s">
        <v>34</v>
      </c>
      <c r="I606" s="892"/>
      <c r="J606" s="1024">
        <v>0</v>
      </c>
      <c r="K606" s="1010"/>
      <c r="L606" s="1010"/>
      <c r="M606" s="1010"/>
      <c r="N606" s="1010"/>
      <c r="O606" s="1010"/>
      <c r="P606" s="1010"/>
      <c r="Q606" s="1314"/>
      <c r="R606" s="1314"/>
      <c r="S606" s="1314"/>
      <c r="T606" s="1314"/>
      <c r="U606" s="1314"/>
      <c r="V606" s="1314"/>
      <c r="W606" s="1314"/>
      <c r="X606" s="1314"/>
      <c r="Y606" s="1314"/>
      <c r="Z606" s="1314"/>
    </row>
    <row r="607" spans="1:26" ht="18.75">
      <c r="A607" s="1338"/>
      <c r="B607" s="1339"/>
      <c r="C607" s="1339"/>
      <c r="D607" s="1413" t="s">
        <v>260</v>
      </c>
      <c r="E607" s="1339"/>
      <c r="F607" s="1026"/>
      <c r="G607" s="1019"/>
      <c r="H607" s="761" t="s">
        <v>46</v>
      </c>
      <c r="I607" s="892"/>
      <c r="J607" s="1024">
        <v>0</v>
      </c>
      <c r="K607" s="1010"/>
      <c r="L607" s="1010"/>
      <c r="M607" s="1010"/>
      <c r="N607" s="1010"/>
      <c r="O607" s="1010"/>
      <c r="P607" s="1010"/>
      <c r="Q607" s="1314"/>
      <c r="R607" s="1314"/>
      <c r="S607" s="1314"/>
      <c r="T607" s="1314"/>
      <c r="U607" s="1314"/>
      <c r="V607" s="1314"/>
      <c r="W607" s="1314"/>
      <c r="X607" s="1314"/>
      <c r="Y607" s="1314"/>
      <c r="Z607" s="1314"/>
    </row>
    <row r="608" spans="1:26" ht="18.75">
      <c r="A608" s="1338"/>
      <c r="B608" s="1339"/>
      <c r="C608" s="1339"/>
      <c r="D608" s="1339"/>
      <c r="E608" s="1026"/>
      <c r="F608" s="1026"/>
      <c r="G608" s="1019"/>
      <c r="H608" s="761" t="s">
        <v>34</v>
      </c>
      <c r="I608" s="892"/>
      <c r="J608" s="1024">
        <v>0</v>
      </c>
      <c r="K608" s="1010"/>
      <c r="L608" s="1010"/>
      <c r="M608" s="1010"/>
      <c r="N608" s="1010"/>
      <c r="O608" s="1010"/>
      <c r="P608" s="1010"/>
      <c r="Q608" s="1314"/>
      <c r="R608" s="1314"/>
      <c r="S608" s="1314"/>
      <c r="T608" s="1314"/>
      <c r="U608" s="1314"/>
      <c r="V608" s="1314"/>
      <c r="W608" s="1314"/>
      <c r="X608" s="1314"/>
      <c r="Y608" s="1314"/>
      <c r="Z608" s="1314"/>
    </row>
    <row r="609" spans="1:26" ht="18.75">
      <c r="A609" s="1338"/>
      <c r="B609" s="1339"/>
      <c r="C609" s="1339" t="s">
        <v>261</v>
      </c>
      <c r="D609" s="1339"/>
      <c r="E609" s="1339"/>
      <c r="F609" s="1026"/>
      <c r="G609" s="1019"/>
      <c r="H609" s="761" t="s">
        <v>46</v>
      </c>
      <c r="I609" s="892"/>
      <c r="J609" s="1024">
        <v>0</v>
      </c>
      <c r="K609" s="1010"/>
      <c r="L609" s="1010"/>
      <c r="M609" s="1010"/>
      <c r="N609" s="1010"/>
      <c r="O609" s="1010"/>
      <c r="P609" s="1010"/>
      <c r="Q609" s="1314"/>
      <c r="R609" s="1314"/>
      <c r="S609" s="1314"/>
      <c r="T609" s="1314"/>
      <c r="U609" s="1314"/>
      <c r="V609" s="1314"/>
      <c r="W609" s="1314"/>
      <c r="X609" s="1314"/>
      <c r="Y609" s="1314"/>
      <c r="Z609" s="1314"/>
    </row>
    <row r="610" spans="1:26" ht="18.75">
      <c r="A610" s="1338"/>
      <c r="B610" s="1339"/>
      <c r="C610" s="1339"/>
      <c r="D610" s="1339"/>
      <c r="E610" s="1026"/>
      <c r="F610" s="1026"/>
      <c r="G610" s="1019"/>
      <c r="H610" s="761" t="s">
        <v>34</v>
      </c>
      <c r="I610" s="892"/>
      <c r="J610" s="1024">
        <v>0</v>
      </c>
      <c r="K610" s="1010"/>
      <c r="L610" s="1010"/>
      <c r="M610" s="1010"/>
      <c r="N610" s="1010"/>
      <c r="O610" s="1010"/>
      <c r="P610" s="1010"/>
      <c r="Q610" s="1314"/>
      <c r="R610" s="1314"/>
      <c r="S610" s="1314"/>
      <c r="T610" s="1314"/>
      <c r="U610" s="1314"/>
      <c r="V610" s="1314"/>
      <c r="W610" s="1314"/>
      <c r="X610" s="1314"/>
      <c r="Y610" s="1314"/>
      <c r="Z610" s="1314"/>
    </row>
    <row r="611" spans="1:26" ht="19.5">
      <c r="A611" s="1402"/>
      <c r="B611" s="1414" t="s">
        <v>262</v>
      </c>
      <c r="C611" s="1404"/>
      <c r="D611" s="1404"/>
      <c r="E611" s="1387"/>
      <c r="F611" s="1387"/>
      <c r="G611" s="1388"/>
      <c r="H611" s="704" t="s">
        <v>46</v>
      </c>
      <c r="I611" s="1389">
        <v>0</v>
      </c>
      <c r="J611" s="1389">
        <f>J614+J616</f>
        <v>0</v>
      </c>
      <c r="K611" s="1390">
        <f t="shared" ref="K611:K613" si="258">IF(I611&gt;0,J611*100/I611,0)</f>
        <v>0</v>
      </c>
      <c r="L611" s="1391"/>
      <c r="M611" s="1391"/>
      <c r="N611" s="1391"/>
      <c r="O611" s="1391"/>
      <c r="P611" s="1391"/>
      <c r="Q611" s="1314"/>
      <c r="R611" s="1314"/>
      <c r="S611" s="1314"/>
      <c r="T611" s="1314"/>
      <c r="U611" s="1314"/>
      <c r="V611" s="1314"/>
      <c r="W611" s="1314"/>
      <c r="X611" s="1314"/>
      <c r="Y611" s="1314"/>
      <c r="Z611" s="1314"/>
    </row>
    <row r="612" spans="1:26" ht="19.5" hidden="1">
      <c r="A612" s="1415"/>
      <c r="B612" s="1416"/>
      <c r="C612" s="1417" t="s">
        <v>263</v>
      </c>
      <c r="D612" s="1416"/>
      <c r="E612" s="1416"/>
      <c r="F612" s="1418"/>
      <c r="G612" s="1419"/>
      <c r="H612" s="711" t="s">
        <v>46</v>
      </c>
      <c r="I612" s="1420">
        <v>0</v>
      </c>
      <c r="J612" s="1420">
        <f t="shared" ref="J612:J613" si="259">J614+J616</f>
        <v>0</v>
      </c>
      <c r="K612" s="1421">
        <f t="shared" si="258"/>
        <v>0</v>
      </c>
      <c r="L612" s="1422"/>
      <c r="M612" s="1422"/>
      <c r="N612" s="1422"/>
      <c r="O612" s="1422"/>
      <c r="P612" s="1422"/>
      <c r="Q612" s="1335"/>
      <c r="R612" s="1335"/>
      <c r="S612" s="1335"/>
      <c r="T612" s="1335"/>
      <c r="U612" s="1335"/>
      <c r="V612" s="1335"/>
      <c r="W612" s="1335"/>
      <c r="X612" s="1335"/>
      <c r="Y612" s="1335"/>
      <c r="Z612" s="1335"/>
    </row>
    <row r="613" spans="1:26" ht="19.5" hidden="1">
      <c r="A613" s="1415"/>
      <c r="B613" s="1416"/>
      <c r="C613" s="1416" t="s">
        <v>264</v>
      </c>
      <c r="D613" s="1416"/>
      <c r="E613" s="1416"/>
      <c r="F613" s="1418"/>
      <c r="G613" s="1419"/>
      <c r="H613" s="711" t="s">
        <v>34</v>
      </c>
      <c r="I613" s="1420">
        <v>0</v>
      </c>
      <c r="J613" s="1420">
        <f t="shared" si="259"/>
        <v>0</v>
      </c>
      <c r="K613" s="1421">
        <f t="shared" si="258"/>
        <v>0</v>
      </c>
      <c r="L613" s="1422"/>
      <c r="M613" s="1422"/>
      <c r="N613" s="1422"/>
      <c r="O613" s="1422"/>
      <c r="P613" s="1422"/>
      <c r="Q613" s="1335"/>
      <c r="R613" s="1335"/>
      <c r="S613" s="1335"/>
      <c r="T613" s="1335"/>
      <c r="U613" s="1335"/>
      <c r="V613" s="1335"/>
      <c r="W613" s="1335"/>
      <c r="X613" s="1335"/>
      <c r="Y613" s="1335"/>
      <c r="Z613" s="1335"/>
    </row>
    <row r="614" spans="1:26" ht="18.75" hidden="1">
      <c r="A614" s="1344"/>
      <c r="B614" s="1345"/>
      <c r="C614" s="1345"/>
      <c r="D614" s="1333" t="s">
        <v>265</v>
      </c>
      <c r="E614" s="1345"/>
      <c r="F614" s="1333"/>
      <c r="G614" s="1124"/>
      <c r="H614" s="370" t="s">
        <v>46</v>
      </c>
      <c r="I614" s="898"/>
      <c r="J614" s="898">
        <v>0</v>
      </c>
      <c r="K614" s="1013"/>
      <c r="L614" s="1013"/>
      <c r="M614" s="1013"/>
      <c r="N614" s="1013"/>
      <c r="O614" s="1013"/>
      <c r="P614" s="1013"/>
      <c r="Q614" s="1335"/>
      <c r="R614" s="1335"/>
      <c r="S614" s="1335"/>
      <c r="T614" s="1335"/>
      <c r="U614" s="1335"/>
      <c r="V614" s="1335"/>
      <c r="W614" s="1335"/>
      <c r="X614" s="1335"/>
      <c r="Y614" s="1335"/>
      <c r="Z614" s="1335"/>
    </row>
    <row r="615" spans="1:26" ht="18.75" hidden="1">
      <c r="A615" s="1344"/>
      <c r="B615" s="1345"/>
      <c r="C615" s="1345"/>
      <c r="D615" s="1345"/>
      <c r="E615" s="1345"/>
      <c r="F615" s="1333"/>
      <c r="G615" s="1124"/>
      <c r="H615" s="370" t="s">
        <v>34</v>
      </c>
      <c r="I615" s="898"/>
      <c r="J615" s="898">
        <v>0</v>
      </c>
      <c r="K615" s="1013"/>
      <c r="L615" s="1013"/>
      <c r="M615" s="1013"/>
      <c r="N615" s="1013"/>
      <c r="O615" s="1013"/>
      <c r="P615" s="1013"/>
      <c r="Q615" s="1335"/>
      <c r="R615" s="1335"/>
      <c r="S615" s="1335"/>
      <c r="T615" s="1335"/>
      <c r="U615" s="1335"/>
      <c r="V615" s="1335"/>
      <c r="W615" s="1335"/>
      <c r="X615" s="1335"/>
      <c r="Y615" s="1335"/>
      <c r="Z615" s="1335"/>
    </row>
    <row r="616" spans="1:26" ht="18.75" hidden="1">
      <c r="A616" s="1344"/>
      <c r="B616" s="1345"/>
      <c r="C616" s="1345"/>
      <c r="D616" s="1423" t="s">
        <v>265</v>
      </c>
      <c r="E616" s="1333"/>
      <c r="F616" s="1333"/>
      <c r="G616" s="1124"/>
      <c r="H616" s="370" t="s">
        <v>46</v>
      </c>
      <c r="I616" s="898"/>
      <c r="J616" s="898">
        <v>0</v>
      </c>
      <c r="K616" s="1013"/>
      <c r="L616" s="1013"/>
      <c r="M616" s="1013"/>
      <c r="N616" s="1013"/>
      <c r="O616" s="1013"/>
      <c r="P616" s="1013"/>
      <c r="Q616" s="1335"/>
      <c r="R616" s="1335"/>
      <c r="S616" s="1335"/>
      <c r="T616" s="1335"/>
      <c r="U616" s="1335"/>
      <c r="V616" s="1335"/>
      <c r="W616" s="1335"/>
      <c r="X616" s="1335"/>
      <c r="Y616" s="1335"/>
      <c r="Z616" s="1335"/>
    </row>
    <row r="617" spans="1:26" ht="18.75" hidden="1">
      <c r="A617" s="1344"/>
      <c r="B617" s="1345"/>
      <c r="C617" s="1345"/>
      <c r="D617" s="1345"/>
      <c r="E617" s="1333"/>
      <c r="F617" s="1333"/>
      <c r="G617" s="1124"/>
      <c r="H617" s="370" t="s">
        <v>34</v>
      </c>
      <c r="I617" s="898"/>
      <c r="J617" s="898">
        <v>0</v>
      </c>
      <c r="K617" s="1013"/>
      <c r="L617" s="1013"/>
      <c r="M617" s="1013"/>
      <c r="N617" s="1013"/>
      <c r="O617" s="1013"/>
      <c r="P617" s="1013"/>
      <c r="Q617" s="1335"/>
      <c r="R617" s="1335"/>
      <c r="S617" s="1335"/>
      <c r="T617" s="1335"/>
      <c r="U617" s="1335"/>
      <c r="V617" s="1335"/>
      <c r="W617" s="1335"/>
      <c r="X617" s="1335"/>
      <c r="Y617" s="1335"/>
      <c r="Z617" s="1335"/>
    </row>
    <row r="618" spans="1:26" ht="18.75" hidden="1">
      <c r="A618" s="1344"/>
      <c r="B618" s="1345"/>
      <c r="C618" s="1345"/>
      <c r="D618" s="1423" t="s">
        <v>266</v>
      </c>
      <c r="E618" s="1333"/>
      <c r="F618" s="1333"/>
      <c r="G618" s="1124"/>
      <c r="H618" s="370" t="s">
        <v>46</v>
      </c>
      <c r="I618" s="898"/>
      <c r="J618" s="898">
        <v>0</v>
      </c>
      <c r="K618" s="1013"/>
      <c r="L618" s="1013"/>
      <c r="M618" s="1013"/>
      <c r="N618" s="1013"/>
      <c r="O618" s="1013"/>
      <c r="P618" s="1013"/>
      <c r="Q618" s="1335"/>
      <c r="R618" s="1335"/>
      <c r="S618" s="1335"/>
      <c r="T618" s="1335"/>
      <c r="U618" s="1335"/>
      <c r="V618" s="1335"/>
      <c r="W618" s="1335"/>
      <c r="X618" s="1335"/>
      <c r="Y618" s="1335"/>
      <c r="Z618" s="1335"/>
    </row>
    <row r="619" spans="1:26" ht="18.75" hidden="1">
      <c r="A619" s="1344"/>
      <c r="B619" s="1345"/>
      <c r="C619" s="1345"/>
      <c r="D619" s="1345"/>
      <c r="E619" s="1333"/>
      <c r="F619" s="1333"/>
      <c r="G619" s="1124"/>
      <c r="H619" s="370" t="s">
        <v>34</v>
      </c>
      <c r="I619" s="898"/>
      <c r="J619" s="898">
        <v>0</v>
      </c>
      <c r="K619" s="1013"/>
      <c r="L619" s="1013"/>
      <c r="M619" s="1013"/>
      <c r="N619" s="1013"/>
      <c r="O619" s="1013"/>
      <c r="P619" s="1013"/>
      <c r="Q619" s="1335"/>
      <c r="R619" s="1335"/>
      <c r="S619" s="1335"/>
      <c r="T619" s="1335"/>
      <c r="U619" s="1335"/>
      <c r="V619" s="1335"/>
      <c r="W619" s="1335"/>
      <c r="X619" s="1335"/>
      <c r="Y619" s="1335"/>
      <c r="Z619" s="1335"/>
    </row>
    <row r="620" spans="1:26" ht="19.5">
      <c r="A620" s="1424"/>
      <c r="B620" s="1425"/>
      <c r="C620" s="1426" t="s">
        <v>267</v>
      </c>
      <c r="D620" s="1425"/>
      <c r="E620" s="1425"/>
      <c r="F620" s="1427"/>
      <c r="G620" s="1428"/>
      <c r="H620" s="724" t="s">
        <v>46</v>
      </c>
      <c r="I620" s="1429">
        <f ca="1">IFERROR(__xludf.DUMMYFUNCTION("IMPORTRANGE(""https://docs.google.com/spreadsheets/d/1QqKyyYR6Q21VydFLVH3TRQUabQu_ym0Zz7PgGX0-kHA/edit?usp=sharing"",""แผน!HL51"")"),70)</f>
        <v>70</v>
      </c>
      <c r="J620" s="1429">
        <f t="shared" ref="J620:J621" si="260">J622+J624+J626</f>
        <v>0</v>
      </c>
      <c r="K620" s="1430">
        <f t="shared" ref="K620:K621" ca="1" si="261">IF(I620&gt;0,J620*100/I620,0)</f>
        <v>0</v>
      </c>
      <c r="L620" s="1431"/>
      <c r="M620" s="1431"/>
      <c r="N620" s="1431"/>
      <c r="O620" s="1431"/>
      <c r="P620" s="1431"/>
      <c r="Q620" s="1314"/>
      <c r="R620" s="1314"/>
      <c r="S620" s="1314"/>
      <c r="T620" s="1314"/>
      <c r="U620" s="1314"/>
      <c r="V620" s="1314"/>
      <c r="W620" s="1314"/>
      <c r="X620" s="1314"/>
      <c r="Y620" s="1314"/>
      <c r="Z620" s="1314"/>
    </row>
    <row r="621" spans="1:26" ht="19.5">
      <c r="A621" s="1424"/>
      <c r="B621" s="1425"/>
      <c r="C621" s="1425" t="s">
        <v>268</v>
      </c>
      <c r="D621" s="1425"/>
      <c r="E621" s="1425"/>
      <c r="F621" s="1427"/>
      <c r="G621" s="1428"/>
      <c r="H621" s="724" t="s">
        <v>34</v>
      </c>
      <c r="I621" s="1429">
        <f ca="1">IFERROR(__xludf.DUMMYFUNCTION("IMPORTRANGE(""https://docs.google.com/spreadsheets/d/1QqKyyYR6Q21VydFLVH3TRQUabQu_ym0Zz7PgGX0-kHA/edit?usp=sharing"",""แผน!HK51"")"),3)</f>
        <v>3</v>
      </c>
      <c r="J621" s="1429">
        <f t="shared" si="260"/>
        <v>0</v>
      </c>
      <c r="K621" s="1430">
        <f t="shared" ca="1" si="261"/>
        <v>0</v>
      </c>
      <c r="L621" s="1431"/>
      <c r="M621" s="1431"/>
      <c r="N621" s="1431"/>
      <c r="O621" s="1431"/>
      <c r="P621" s="1431"/>
      <c r="Q621" s="1314"/>
      <c r="R621" s="1314"/>
      <c r="S621" s="1314"/>
      <c r="T621" s="1314"/>
      <c r="U621" s="1314"/>
      <c r="V621" s="1314"/>
      <c r="W621" s="1314"/>
      <c r="X621" s="1314"/>
      <c r="Y621" s="1314"/>
      <c r="Z621" s="1314"/>
    </row>
    <row r="622" spans="1:26" ht="18.75">
      <c r="A622" s="1338"/>
      <c r="B622" s="1339"/>
      <c r="C622" s="1339"/>
      <c r="D622" s="1082" t="s">
        <v>269</v>
      </c>
      <c r="E622" s="1026"/>
      <c r="F622" s="1026"/>
      <c r="G622" s="1019"/>
      <c r="H622" s="761" t="s">
        <v>46</v>
      </c>
      <c r="I622" s="892"/>
      <c r="J622" s="1024">
        <v>0</v>
      </c>
      <c r="K622" s="1010"/>
      <c r="L622" s="1010"/>
      <c r="M622" s="1010"/>
      <c r="N622" s="1010"/>
      <c r="O622" s="1010"/>
      <c r="P622" s="1010"/>
      <c r="Q622" s="1314"/>
      <c r="R622" s="1314"/>
      <c r="S622" s="1314"/>
      <c r="T622" s="1314"/>
      <c r="U622" s="1314"/>
      <c r="V622" s="1314"/>
      <c r="W622" s="1314"/>
      <c r="X622" s="1314"/>
      <c r="Y622" s="1314"/>
      <c r="Z622" s="1314"/>
    </row>
    <row r="623" spans="1:26" ht="18.75">
      <c r="A623" s="1338"/>
      <c r="B623" s="1339"/>
      <c r="C623" s="1339"/>
      <c r="D623" s="1339"/>
      <c r="E623" s="1026"/>
      <c r="F623" s="1026"/>
      <c r="G623" s="1019"/>
      <c r="H623" s="761" t="s">
        <v>34</v>
      </c>
      <c r="I623" s="892"/>
      <c r="J623" s="1024">
        <v>0</v>
      </c>
      <c r="K623" s="1010"/>
      <c r="L623" s="1010"/>
      <c r="M623" s="1010"/>
      <c r="N623" s="1010"/>
      <c r="O623" s="1010"/>
      <c r="P623" s="1010"/>
      <c r="Q623" s="1314"/>
      <c r="R623" s="1314"/>
      <c r="S623" s="1314"/>
      <c r="T623" s="1314"/>
      <c r="U623" s="1314"/>
      <c r="V623" s="1314"/>
      <c r="W623" s="1314"/>
      <c r="X623" s="1314"/>
      <c r="Y623" s="1314"/>
      <c r="Z623" s="1314"/>
    </row>
    <row r="624" spans="1:26" ht="18.75">
      <c r="A624" s="1338"/>
      <c r="B624" s="1339"/>
      <c r="C624" s="1339"/>
      <c r="D624" s="1082" t="s">
        <v>265</v>
      </c>
      <c r="E624" s="1026"/>
      <c r="F624" s="1026"/>
      <c r="G624" s="1019"/>
      <c r="H624" s="761" t="s">
        <v>46</v>
      </c>
      <c r="I624" s="892"/>
      <c r="J624" s="1024">
        <v>0</v>
      </c>
      <c r="K624" s="1010"/>
      <c r="L624" s="1010"/>
      <c r="M624" s="1010"/>
      <c r="N624" s="1010"/>
      <c r="O624" s="1010"/>
      <c r="P624" s="1010"/>
      <c r="Q624" s="1314"/>
      <c r="R624" s="1314"/>
      <c r="S624" s="1314"/>
      <c r="T624" s="1314"/>
      <c r="U624" s="1314"/>
      <c r="V624" s="1314"/>
      <c r="W624" s="1314"/>
      <c r="X624" s="1314"/>
      <c r="Y624" s="1314"/>
      <c r="Z624" s="1314"/>
    </row>
    <row r="625" spans="1:26" ht="18.75">
      <c r="A625" s="1338"/>
      <c r="B625" s="1339"/>
      <c r="C625" s="1339"/>
      <c r="D625" s="1339"/>
      <c r="E625" s="1026"/>
      <c r="F625" s="1026"/>
      <c r="G625" s="1019"/>
      <c r="H625" s="761" t="s">
        <v>34</v>
      </c>
      <c r="I625" s="892"/>
      <c r="J625" s="1024">
        <v>0</v>
      </c>
      <c r="K625" s="1010"/>
      <c r="L625" s="1010"/>
      <c r="M625" s="1010"/>
      <c r="N625" s="1010"/>
      <c r="O625" s="1010"/>
      <c r="P625" s="1010"/>
      <c r="Q625" s="1314"/>
      <c r="R625" s="1314"/>
      <c r="S625" s="1314"/>
      <c r="T625" s="1314"/>
      <c r="U625" s="1314"/>
      <c r="V625" s="1314"/>
      <c r="W625" s="1314"/>
      <c r="X625" s="1314"/>
      <c r="Y625" s="1314"/>
      <c r="Z625" s="1314"/>
    </row>
    <row r="626" spans="1:26" ht="18.75">
      <c r="A626" s="1338"/>
      <c r="B626" s="1339"/>
      <c r="C626" s="1339"/>
      <c r="D626" s="1082" t="s">
        <v>270</v>
      </c>
      <c r="E626" s="1026"/>
      <c r="F626" s="1026"/>
      <c r="G626" s="1019"/>
      <c r="H626" s="761" t="s">
        <v>46</v>
      </c>
      <c r="I626" s="892"/>
      <c r="J626" s="1024">
        <v>0</v>
      </c>
      <c r="K626" s="1010"/>
      <c r="L626" s="1010"/>
      <c r="M626" s="1010"/>
      <c r="N626" s="1010"/>
      <c r="O626" s="1010"/>
      <c r="P626" s="1010"/>
      <c r="Q626" s="1314"/>
      <c r="R626" s="1314"/>
      <c r="S626" s="1314"/>
      <c r="T626" s="1314"/>
      <c r="U626" s="1314"/>
      <c r="V626" s="1314"/>
      <c r="W626" s="1314"/>
      <c r="X626" s="1314"/>
      <c r="Y626" s="1314"/>
      <c r="Z626" s="1314"/>
    </row>
    <row r="627" spans="1:26" ht="18.75">
      <c r="A627" s="1432"/>
      <c r="B627" s="1433"/>
      <c r="C627" s="1433"/>
      <c r="D627" s="1433"/>
      <c r="E627" s="1181"/>
      <c r="F627" s="1181"/>
      <c r="G627" s="1434"/>
      <c r="H627" s="422" t="s">
        <v>34</v>
      </c>
      <c r="I627" s="1149"/>
      <c r="J627" s="1183">
        <v>0</v>
      </c>
      <c r="K627" s="1150"/>
      <c r="L627" s="1150"/>
      <c r="M627" s="1150"/>
      <c r="N627" s="1150"/>
      <c r="O627" s="1150"/>
      <c r="P627" s="1150"/>
      <c r="Q627" s="1314"/>
      <c r="R627" s="1314"/>
      <c r="S627" s="1314"/>
      <c r="T627" s="1314"/>
      <c r="U627" s="1314"/>
      <c r="V627" s="1314"/>
      <c r="W627" s="1314"/>
      <c r="X627" s="1314"/>
      <c r="Y627" s="1314"/>
      <c r="Z627" s="1314"/>
    </row>
    <row r="628" spans="1:26" ht="19.5">
      <c r="A628" s="733">
        <v>7</v>
      </c>
      <c r="B628" s="1435" t="s">
        <v>271</v>
      </c>
      <c r="C628" s="1436"/>
      <c r="D628" s="1436"/>
      <c r="E628" s="1436"/>
      <c r="F628" s="1436"/>
      <c r="G628" s="1437"/>
      <c r="H628" s="737" t="s">
        <v>35</v>
      </c>
      <c r="I628" s="1438">
        <f t="shared" ref="I628:J628" ca="1" si="262">I651</f>
        <v>250</v>
      </c>
      <c r="J628" s="1438">
        <f t="shared" ca="1" si="262"/>
        <v>50</v>
      </c>
      <c r="K628" s="1439">
        <f ca="1">IF(I628&gt;0,J628*100/I628,0)</f>
        <v>20</v>
      </c>
      <c r="L628" s="1440"/>
      <c r="M628" s="1440"/>
      <c r="N628" s="1440"/>
      <c r="O628" s="1440"/>
      <c r="P628" s="1440"/>
      <c r="Q628" s="1314"/>
      <c r="R628" s="1314"/>
      <c r="S628" s="1314"/>
      <c r="T628" s="1314"/>
      <c r="U628" s="1314"/>
      <c r="V628" s="1314"/>
      <c r="W628" s="1314"/>
      <c r="X628" s="1314"/>
      <c r="Y628" s="1314"/>
      <c r="Z628" s="1314"/>
    </row>
    <row r="629" spans="1:26" ht="19.5">
      <c r="A629" s="1329"/>
      <c r="B629" s="1313"/>
      <c r="C629" s="1313" t="s">
        <v>16</v>
      </c>
      <c r="D629" s="1330" t="s">
        <v>17</v>
      </c>
      <c r="E629" s="853"/>
      <c r="F629" s="853"/>
      <c r="G629" s="1028"/>
      <c r="H629" s="596" t="s">
        <v>12</v>
      </c>
      <c r="I629" s="892"/>
      <c r="J629" s="892"/>
      <c r="K629" s="893"/>
      <c r="L629" s="1032">
        <f t="shared" ref="L629:N629" ca="1" si="263">L630+L631</f>
        <v>507280</v>
      </c>
      <c r="M629" s="1032">
        <f t="shared" ca="1" si="263"/>
        <v>507280</v>
      </c>
      <c r="N629" s="1032">
        <f t="shared" si="263"/>
        <v>266483</v>
      </c>
      <c r="O629" s="1032">
        <f t="shared" ref="O629:O634" ca="1" si="264">IF(L629&gt;0,N629*100/L629,0)</f>
        <v>52.531737896230879</v>
      </c>
      <c r="P629" s="1032">
        <f t="shared" ref="P629:P634" ca="1" si="265">IF(M629&gt;0,N629*100/M629,0)</f>
        <v>52.531737896230879</v>
      </c>
      <c r="Q629" s="1314"/>
      <c r="R629" s="1314"/>
      <c r="S629" s="1314"/>
      <c r="T629" s="1314"/>
      <c r="U629" s="1314"/>
      <c r="V629" s="1314"/>
      <c r="W629" s="1314"/>
      <c r="X629" s="1314"/>
      <c r="Y629" s="1314"/>
      <c r="Z629" s="1314"/>
    </row>
    <row r="630" spans="1:26" ht="18.75" hidden="1">
      <c r="A630" s="1331"/>
      <c r="B630" s="1332"/>
      <c r="C630" s="1332"/>
      <c r="D630" s="1333"/>
      <c r="E630" s="1332" t="s">
        <v>185</v>
      </c>
      <c r="F630" s="1332"/>
      <c r="G630" s="1334"/>
      <c r="H630" s="165" t="s">
        <v>12</v>
      </c>
      <c r="I630" s="898"/>
      <c r="J630" s="898"/>
      <c r="K630" s="899"/>
      <c r="L630" s="899">
        <f t="shared" ref="L630:N631" si="266">L633+L640</f>
        <v>0</v>
      </c>
      <c r="M630" s="899">
        <f t="shared" si="266"/>
        <v>0</v>
      </c>
      <c r="N630" s="899">
        <f t="shared" si="266"/>
        <v>0</v>
      </c>
      <c r="O630" s="899">
        <f t="shared" si="264"/>
        <v>0</v>
      </c>
      <c r="P630" s="899">
        <f t="shared" si="265"/>
        <v>0</v>
      </c>
      <c r="Q630" s="1335"/>
      <c r="R630" s="1335"/>
      <c r="S630" s="1335"/>
      <c r="T630" s="1335"/>
      <c r="U630" s="1335"/>
      <c r="V630" s="1335"/>
      <c r="W630" s="1335"/>
      <c r="X630" s="1335"/>
      <c r="Y630" s="1335"/>
      <c r="Z630" s="1335"/>
    </row>
    <row r="631" spans="1:26" ht="18.75" hidden="1">
      <c r="A631" s="1331"/>
      <c r="B631" s="1336"/>
      <c r="C631" s="1332"/>
      <c r="D631" s="1333"/>
      <c r="E631" s="1332" t="s">
        <v>186</v>
      </c>
      <c r="F631" s="1332"/>
      <c r="G631" s="1334"/>
      <c r="H631" s="165" t="s">
        <v>12</v>
      </c>
      <c r="I631" s="898"/>
      <c r="J631" s="898"/>
      <c r="K631" s="899"/>
      <c r="L631" s="899">
        <f t="shared" ca="1" si="266"/>
        <v>507280</v>
      </c>
      <c r="M631" s="899">
        <f t="shared" ca="1" si="266"/>
        <v>507280</v>
      </c>
      <c r="N631" s="899">
        <f t="shared" si="266"/>
        <v>266483</v>
      </c>
      <c r="O631" s="899">
        <f t="shared" ca="1" si="264"/>
        <v>52.531737896230879</v>
      </c>
      <c r="P631" s="899">
        <f t="shared" ca="1" si="265"/>
        <v>52.531737896230879</v>
      </c>
      <c r="Q631" s="1335"/>
      <c r="R631" s="1335"/>
      <c r="S631" s="1335"/>
      <c r="T631" s="1335"/>
      <c r="U631" s="1335"/>
      <c r="V631" s="1335"/>
      <c r="W631" s="1335"/>
      <c r="X631" s="1335"/>
      <c r="Y631" s="1335"/>
      <c r="Z631" s="1335"/>
    </row>
    <row r="632" spans="1:26" ht="18.75">
      <c r="A632" s="1329"/>
      <c r="B632" s="1312"/>
      <c r="C632" s="1313"/>
      <c r="D632" s="1337" t="s">
        <v>20</v>
      </c>
      <c r="E632" s="1313"/>
      <c r="F632" s="1313"/>
      <c r="G632" s="1028"/>
      <c r="H632" s="161" t="s">
        <v>12</v>
      </c>
      <c r="I632" s="1009"/>
      <c r="J632" s="1009"/>
      <c r="K632" s="1010"/>
      <c r="L632" s="893">
        <f t="shared" ref="L632:N632" ca="1" si="267">L633+L634</f>
        <v>507280</v>
      </c>
      <c r="M632" s="893">
        <f t="shared" ca="1" si="267"/>
        <v>507280</v>
      </c>
      <c r="N632" s="893">
        <f t="shared" si="267"/>
        <v>266483</v>
      </c>
      <c r="O632" s="893">
        <f t="shared" ca="1" si="264"/>
        <v>52.531737896230879</v>
      </c>
      <c r="P632" s="893">
        <f t="shared" ca="1" si="265"/>
        <v>52.531737896230879</v>
      </c>
      <c r="Q632" s="1314"/>
      <c r="R632" s="1314"/>
      <c r="S632" s="1314"/>
      <c r="T632" s="1314"/>
      <c r="U632" s="1314"/>
      <c r="V632" s="1314"/>
      <c r="W632" s="1314"/>
      <c r="X632" s="1314"/>
      <c r="Y632" s="1314"/>
      <c r="Z632" s="1314"/>
    </row>
    <row r="633" spans="1:26" ht="18.75" hidden="1">
      <c r="A633" s="1331"/>
      <c r="B633" s="1336"/>
      <c r="C633" s="1332"/>
      <c r="D633" s="1333"/>
      <c r="E633" s="1332" t="s">
        <v>185</v>
      </c>
      <c r="F633" s="1332"/>
      <c r="G633" s="1334"/>
      <c r="H633" s="165" t="s">
        <v>12</v>
      </c>
      <c r="I633" s="898"/>
      <c r="J633" s="898"/>
      <c r="K633" s="899"/>
      <c r="L633" s="899">
        <v>0</v>
      </c>
      <c r="M633" s="899">
        <v>0</v>
      </c>
      <c r="N633" s="899">
        <v>0</v>
      </c>
      <c r="O633" s="899">
        <f t="shared" si="264"/>
        <v>0</v>
      </c>
      <c r="P633" s="899">
        <f t="shared" si="265"/>
        <v>0</v>
      </c>
      <c r="Q633" s="1335"/>
      <c r="R633" s="1335"/>
      <c r="S633" s="1335"/>
      <c r="T633" s="1335"/>
      <c r="U633" s="1335"/>
      <c r="V633" s="1335"/>
      <c r="W633" s="1335"/>
      <c r="X633" s="1335"/>
      <c r="Y633" s="1335"/>
      <c r="Z633" s="1335"/>
    </row>
    <row r="634" spans="1:26" ht="18.75" hidden="1">
      <c r="A634" s="1331"/>
      <c r="B634" s="1336"/>
      <c r="C634" s="1332"/>
      <c r="D634" s="1333"/>
      <c r="E634" s="1332" t="s">
        <v>186</v>
      </c>
      <c r="F634" s="1332"/>
      <c r="G634" s="1334"/>
      <c r="H634" s="165" t="s">
        <v>12</v>
      </c>
      <c r="I634" s="898"/>
      <c r="J634" s="898"/>
      <c r="K634" s="899"/>
      <c r="L634" s="899">
        <f ca="1">IFERROR(__xludf.DUMMYFUNCTION("IMPORTRANGE(""https://docs.google.com/spreadsheets/d/1QqKyyYR6Q21VydFLVH3TRQUabQu_ym0Zz7PgGX0-kHA/edit?usp=sharing"",""แผน!HN51"")"),507280)</f>
        <v>507280</v>
      </c>
      <c r="M634" s="899">
        <f ca="1">L634</f>
        <v>507280</v>
      </c>
      <c r="N634" s="899">
        <f>N635+N636+N637+N638</f>
        <v>266483</v>
      </c>
      <c r="O634" s="899">
        <f t="shared" ca="1" si="264"/>
        <v>52.531737896230879</v>
      </c>
      <c r="P634" s="899">
        <f t="shared" ca="1" si="265"/>
        <v>52.531737896230879</v>
      </c>
      <c r="Q634" s="1335"/>
      <c r="R634" s="1335"/>
      <c r="S634" s="1335"/>
      <c r="T634" s="1335"/>
      <c r="U634" s="1335"/>
      <c r="V634" s="1335"/>
      <c r="W634" s="1335"/>
      <c r="X634" s="1335"/>
      <c r="Y634" s="1335"/>
      <c r="Z634" s="1335"/>
    </row>
    <row r="635" spans="1:26" ht="18.75">
      <c r="A635" s="1311"/>
      <c r="B635" s="1312"/>
      <c r="C635" s="1313"/>
      <c r="D635" s="1313"/>
      <c r="E635" s="1313"/>
      <c r="F635" s="1313" t="s">
        <v>187</v>
      </c>
      <c r="G635" s="1028"/>
      <c r="H635" s="161" t="s">
        <v>12</v>
      </c>
      <c r="I635" s="892"/>
      <c r="J635" s="892"/>
      <c r="K635" s="893"/>
      <c r="L635" s="893"/>
      <c r="M635" s="893"/>
      <c r="N635" s="1096">
        <v>0</v>
      </c>
      <c r="O635" s="893"/>
      <c r="P635" s="893"/>
      <c r="Q635" s="1314"/>
      <c r="R635" s="1314"/>
      <c r="S635" s="1314"/>
      <c r="T635" s="1314"/>
      <c r="U635" s="1314"/>
      <c r="V635" s="1314"/>
      <c r="W635" s="1314"/>
      <c r="X635" s="1314"/>
      <c r="Y635" s="1314"/>
      <c r="Z635" s="1314"/>
    </row>
    <row r="636" spans="1:26" ht="18.75">
      <c r="A636" s="1311"/>
      <c r="B636" s="1312"/>
      <c r="C636" s="1313"/>
      <c r="D636" s="1313"/>
      <c r="E636" s="1313"/>
      <c r="F636" s="1313" t="s">
        <v>188</v>
      </c>
      <c r="G636" s="1028"/>
      <c r="H636" s="161" t="s">
        <v>12</v>
      </c>
      <c r="I636" s="892"/>
      <c r="J636" s="892"/>
      <c r="K636" s="893"/>
      <c r="L636" s="893"/>
      <c r="M636" s="893"/>
      <c r="N636" s="1096">
        <v>0</v>
      </c>
      <c r="O636" s="893"/>
      <c r="P636" s="893"/>
      <c r="Q636" s="1314"/>
      <c r="R636" s="1314"/>
      <c r="S636" s="1314"/>
      <c r="T636" s="1314"/>
      <c r="U636" s="1314"/>
      <c r="V636" s="1314"/>
      <c r="W636" s="1314"/>
      <c r="X636" s="1314"/>
      <c r="Y636" s="1314"/>
      <c r="Z636" s="1314"/>
    </row>
    <row r="637" spans="1:26" ht="18.75">
      <c r="A637" s="1311"/>
      <c r="B637" s="1312"/>
      <c r="C637" s="1313"/>
      <c r="D637" s="1313"/>
      <c r="E637" s="1313"/>
      <c r="F637" s="1313" t="s">
        <v>189</v>
      </c>
      <c r="G637" s="1028"/>
      <c r="H637" s="161" t="s">
        <v>12</v>
      </c>
      <c r="I637" s="892"/>
      <c r="J637" s="892"/>
      <c r="K637" s="893"/>
      <c r="L637" s="893"/>
      <c r="M637" s="893"/>
      <c r="N637" s="1096">
        <v>64567</v>
      </c>
      <c r="O637" s="893"/>
      <c r="P637" s="893"/>
      <c r="Q637" s="1314"/>
      <c r="R637" s="1314"/>
      <c r="S637" s="1314"/>
      <c r="T637" s="1314"/>
      <c r="U637" s="1314"/>
      <c r="V637" s="1314"/>
      <c r="W637" s="1314"/>
      <c r="X637" s="1314"/>
      <c r="Y637" s="1314"/>
      <c r="Z637" s="1314"/>
    </row>
    <row r="638" spans="1:26" ht="18.75">
      <c r="A638" s="1311"/>
      <c r="B638" s="1312"/>
      <c r="C638" s="1313"/>
      <c r="D638" s="1313"/>
      <c r="E638" s="1313"/>
      <c r="F638" s="1313" t="s">
        <v>190</v>
      </c>
      <c r="G638" s="1028"/>
      <c r="H638" s="161" t="s">
        <v>12</v>
      </c>
      <c r="I638" s="892"/>
      <c r="J638" s="892"/>
      <c r="K638" s="893"/>
      <c r="L638" s="893"/>
      <c r="M638" s="893"/>
      <c r="N638" s="1096">
        <f>44460+15000+15000+95896+19560+12000</f>
        <v>201916</v>
      </c>
      <c r="O638" s="893"/>
      <c r="P638" s="893"/>
      <c r="Q638" s="1314"/>
      <c r="R638" s="1314"/>
      <c r="S638" s="1314"/>
      <c r="T638" s="1314"/>
      <c r="U638" s="1314"/>
      <c r="V638" s="1314"/>
      <c r="W638" s="1314"/>
      <c r="X638" s="1314"/>
      <c r="Y638" s="1314"/>
      <c r="Z638" s="1314"/>
    </row>
    <row r="639" spans="1:26" ht="18.75">
      <c r="A639" s="1329"/>
      <c r="B639" s="1312"/>
      <c r="C639" s="1313"/>
      <c r="D639" s="1337" t="s">
        <v>21</v>
      </c>
      <c r="E639" s="1313"/>
      <c r="F639" s="1313"/>
      <c r="G639" s="1028"/>
      <c r="H639" s="168" t="s">
        <v>12</v>
      </c>
      <c r="I639" s="1009"/>
      <c r="J639" s="1009"/>
      <c r="K639" s="1010"/>
      <c r="L639" s="893">
        <f t="shared" ref="L639:N639" ca="1" si="268">L640+L641</f>
        <v>0</v>
      </c>
      <c r="M639" s="893">
        <f t="shared" si="268"/>
        <v>0</v>
      </c>
      <c r="N639" s="893">
        <f t="shared" si="268"/>
        <v>0</v>
      </c>
      <c r="O639" s="893">
        <f t="shared" ref="O639:O641" ca="1" si="269">IF(L639&gt;0,N639*100/L639,0)</f>
        <v>0</v>
      </c>
      <c r="P639" s="893">
        <f t="shared" ref="P639:P641" si="270">IF(M639&gt;0,N639*100/M639,0)</f>
        <v>0</v>
      </c>
      <c r="Q639" s="1314"/>
      <c r="R639" s="1314"/>
      <c r="S639" s="1314"/>
      <c r="T639" s="1314"/>
      <c r="U639" s="1314"/>
      <c r="V639" s="1314"/>
      <c r="W639" s="1314"/>
      <c r="X639" s="1314"/>
      <c r="Y639" s="1314"/>
      <c r="Z639" s="1314"/>
    </row>
    <row r="640" spans="1:26" ht="18.75" hidden="1">
      <c r="A640" s="1331"/>
      <c r="B640" s="1336"/>
      <c r="C640" s="1332"/>
      <c r="D640" s="1332"/>
      <c r="E640" s="1332" t="s">
        <v>18</v>
      </c>
      <c r="F640" s="1332"/>
      <c r="G640" s="1334"/>
      <c r="H640" s="165" t="s">
        <v>12</v>
      </c>
      <c r="I640" s="1012"/>
      <c r="J640" s="1012"/>
      <c r="K640" s="1013"/>
      <c r="L640" s="899">
        <v>0</v>
      </c>
      <c r="M640" s="899">
        <v>0</v>
      </c>
      <c r="N640" s="899">
        <v>0</v>
      </c>
      <c r="O640" s="899">
        <f t="shared" si="269"/>
        <v>0</v>
      </c>
      <c r="P640" s="899">
        <f t="shared" si="270"/>
        <v>0</v>
      </c>
      <c r="Q640" s="1335"/>
      <c r="R640" s="1335"/>
      <c r="S640" s="1335"/>
      <c r="T640" s="1335"/>
      <c r="U640" s="1335"/>
      <c r="V640" s="1335"/>
      <c r="W640" s="1335"/>
      <c r="X640" s="1335"/>
      <c r="Y640" s="1335"/>
      <c r="Z640" s="1335"/>
    </row>
    <row r="641" spans="1:26" ht="18.75" hidden="1">
      <c r="A641" s="1331"/>
      <c r="B641" s="1336"/>
      <c r="C641" s="1332"/>
      <c r="D641" s="1332"/>
      <c r="E641" s="1332" t="s">
        <v>19</v>
      </c>
      <c r="F641" s="1332"/>
      <c r="G641" s="1334"/>
      <c r="H641" s="169" t="s">
        <v>12</v>
      </c>
      <c r="I641" s="1012"/>
      <c r="J641" s="1012"/>
      <c r="K641" s="1013"/>
      <c r="L641" s="899">
        <f ca="1">IFERROR(__xludf.DUMMYFUNCTION("IMPORTRANGE(""https://docs.google.com/spreadsheets/d/1QqKyyYR6Q21VydFLVH3TRQUabQu_ym0Zz7PgGX0-kHA/edit?usp=sharing"",""แผน!HQ51"")"),0)</f>
        <v>0</v>
      </c>
      <c r="M641" s="899">
        <v>0</v>
      </c>
      <c r="N641" s="899">
        <v>0</v>
      </c>
      <c r="O641" s="899">
        <f t="shared" ca="1" si="269"/>
        <v>0</v>
      </c>
      <c r="P641" s="899">
        <f t="shared" si="270"/>
        <v>0</v>
      </c>
      <c r="Q641" s="1335"/>
      <c r="R641" s="1335"/>
      <c r="S641" s="1335"/>
      <c r="T641" s="1335"/>
      <c r="U641" s="1335"/>
      <c r="V641" s="1335"/>
      <c r="W641" s="1335"/>
      <c r="X641" s="1335"/>
      <c r="Y641" s="1335"/>
      <c r="Z641" s="1335"/>
    </row>
    <row r="642" spans="1:26" ht="19.5">
      <c r="A642" s="1338"/>
      <c r="B642" s="1339"/>
      <c r="C642" s="1313" t="s">
        <v>16</v>
      </c>
      <c r="D642" s="1392" t="s">
        <v>38</v>
      </c>
      <c r="E642" s="1342"/>
      <c r="F642" s="1342"/>
      <c r="G642" s="1343"/>
      <c r="H642" s="1019"/>
      <c r="I642" s="1009"/>
      <c r="J642" s="1009"/>
      <c r="K642" s="1010"/>
      <c r="L642" s="1010"/>
      <c r="M642" s="1010"/>
      <c r="N642" s="1010"/>
      <c r="O642" s="1010"/>
      <c r="P642" s="1010"/>
      <c r="Q642" s="1314"/>
      <c r="R642" s="1314"/>
      <c r="S642" s="1314"/>
      <c r="T642" s="1314"/>
      <c r="U642" s="1314"/>
      <c r="V642" s="1314"/>
      <c r="W642" s="1314"/>
      <c r="X642" s="1314"/>
      <c r="Y642" s="1314"/>
      <c r="Z642" s="1314"/>
    </row>
    <row r="643" spans="1:26" ht="18.75">
      <c r="A643" s="1441"/>
      <c r="B643" s="1312"/>
      <c r="C643" s="1313"/>
      <c r="D643" s="1026"/>
      <c r="E643" s="1082" t="s">
        <v>272</v>
      </c>
      <c r="F643" s="1026"/>
      <c r="G643" s="1019"/>
      <c r="H643" s="761" t="s">
        <v>273</v>
      </c>
      <c r="I643" s="892">
        <f ca="1">IFERROR(__xludf.DUMMYFUNCTION("IMPORTRANGE(""https://docs.google.com/spreadsheets/d/1QqKyyYR6Q21VydFLVH3TRQUabQu_ym0Zz7PgGX0-kHA/edit?usp=sharing"",""แผน!HR51"")"),0)</f>
        <v>0</v>
      </c>
      <c r="J643" s="1024">
        <v>0</v>
      </c>
      <c r="K643" s="1010">
        <f t="shared" ref="K643:K652" ca="1" si="271">IF(I643&gt;0,J643*100/I643,0)</f>
        <v>0</v>
      </c>
      <c r="L643" s="1010"/>
      <c r="M643" s="1010"/>
      <c r="N643" s="893"/>
      <c r="O643" s="1010"/>
      <c r="P643" s="1010"/>
      <c r="Q643" s="1314"/>
      <c r="R643" s="1314"/>
      <c r="S643" s="1314"/>
      <c r="T643" s="1314"/>
      <c r="U643" s="1314"/>
      <c r="V643" s="1314"/>
      <c r="W643" s="1314"/>
      <c r="X643" s="1314"/>
      <c r="Y643" s="1314"/>
      <c r="Z643" s="1314"/>
    </row>
    <row r="644" spans="1:26" ht="18.75">
      <c r="A644" s="1441"/>
      <c r="B644" s="1312"/>
      <c r="C644" s="1313"/>
      <c r="D644" s="1026"/>
      <c r="E644" s="1082" t="s">
        <v>274</v>
      </c>
      <c r="F644" s="1026"/>
      <c r="G644" s="1019"/>
      <c r="H644" s="761" t="s">
        <v>275</v>
      </c>
      <c r="I644" s="892">
        <f ca="1">IFERROR(__xludf.DUMMYFUNCTION("IMPORTRANGE(""https://docs.google.com/spreadsheets/d/1QqKyyYR6Q21VydFLVH3TRQUabQu_ym0Zz7PgGX0-kHA/edit?usp=sharing"",""แผน!HR51"")"),0)</f>
        <v>0</v>
      </c>
      <c r="J644" s="1024">
        <v>0</v>
      </c>
      <c r="K644" s="1010">
        <f t="shared" ca="1" si="271"/>
        <v>0</v>
      </c>
      <c r="L644" s="1010"/>
      <c r="M644" s="1010"/>
      <c r="N644" s="893"/>
      <c r="O644" s="1010"/>
      <c r="P644" s="1010"/>
      <c r="Q644" s="1314"/>
      <c r="R644" s="1314"/>
      <c r="S644" s="1314"/>
      <c r="T644" s="1314"/>
      <c r="U644" s="1314"/>
      <c r="V644" s="1314"/>
      <c r="W644" s="1314"/>
      <c r="X644" s="1314"/>
      <c r="Y644" s="1314"/>
      <c r="Z644" s="1314"/>
    </row>
    <row r="645" spans="1:26" ht="18.75">
      <c r="A645" s="1441"/>
      <c r="B645" s="1312"/>
      <c r="C645" s="1313"/>
      <c r="D645" s="1026"/>
      <c r="E645" s="1082" t="s">
        <v>276</v>
      </c>
      <c r="F645" s="1026"/>
      <c r="G645" s="1019"/>
      <c r="H645" s="761" t="s">
        <v>34</v>
      </c>
      <c r="I645" s="892">
        <v>0</v>
      </c>
      <c r="J645" s="892">
        <f ca="1">IFERROR(__xludf.DUMMYFUNCTION("IMPORTRANGE(""https://docs.google.com/spreadsheets/d/1XWAQStnk-4SwqDmLtmXYiTMKHgktTP8We1SCoS47DrQ/edit?usp=sharing"",""จัดที่ดิน!AS51"")"),240)</f>
        <v>240</v>
      </c>
      <c r="K645" s="1010">
        <f t="shared" si="271"/>
        <v>0</v>
      </c>
      <c r="L645" s="1010"/>
      <c r="M645" s="1010"/>
      <c r="N645" s="893"/>
      <c r="O645" s="1010"/>
      <c r="P645" s="1010"/>
      <c r="Q645" s="1314"/>
      <c r="R645" s="1314"/>
      <c r="S645" s="1314"/>
      <c r="T645" s="1314"/>
      <c r="U645" s="1314"/>
      <c r="V645" s="1314"/>
      <c r="W645" s="1314"/>
      <c r="X645" s="1314"/>
      <c r="Y645" s="1314"/>
      <c r="Z645" s="1314"/>
    </row>
    <row r="646" spans="1:26" ht="18.75">
      <c r="A646" s="1441"/>
      <c r="B646" s="1312"/>
      <c r="C646" s="1313"/>
      <c r="D646" s="1026"/>
      <c r="E646" s="1026"/>
      <c r="F646" s="1026"/>
      <c r="G646" s="1019"/>
      <c r="H646" s="761" t="s">
        <v>46</v>
      </c>
      <c r="I646" s="892">
        <v>0</v>
      </c>
      <c r="J646" s="892">
        <f ca="1">IFERROR(__xludf.DUMMYFUNCTION("IMPORTRANGE(""https://docs.google.com/spreadsheets/d/1XWAQStnk-4SwqDmLtmXYiTMKHgktTP8We1SCoS47DrQ/edit?usp=sharing"",""จัดที่ดิน!AT51"")"),103.83)</f>
        <v>103.83</v>
      </c>
      <c r="K646" s="893">
        <f t="shared" si="271"/>
        <v>0</v>
      </c>
      <c r="L646" s="1010"/>
      <c r="M646" s="1010"/>
      <c r="N646" s="893"/>
      <c r="O646" s="1010"/>
      <c r="P646" s="1010"/>
      <c r="Q646" s="1314"/>
      <c r="R646" s="1314"/>
      <c r="S646" s="1314"/>
      <c r="T646" s="1314"/>
      <c r="U646" s="1314"/>
      <c r="V646" s="1314"/>
      <c r="W646" s="1314"/>
      <c r="X646" s="1314"/>
      <c r="Y646" s="1314"/>
      <c r="Z646" s="1314"/>
    </row>
    <row r="647" spans="1:26" ht="18.75">
      <c r="A647" s="1441"/>
      <c r="B647" s="1312"/>
      <c r="C647" s="1313"/>
      <c r="D647" s="1026"/>
      <c r="E647" s="1082" t="s">
        <v>162</v>
      </c>
      <c r="F647" s="1026"/>
      <c r="G647" s="1019"/>
      <c r="H647" s="761" t="s">
        <v>35</v>
      </c>
      <c r="I647" s="892">
        <f ca="1">IFERROR(__xludf.DUMMYFUNCTION("IMPORTRANGE(""https://docs.google.com/spreadsheets/d/1QqKyyYR6Q21VydFLVH3TRQUabQu_ym0Zz7PgGX0-kHA/edit?usp=sharing"",""แผน!HS51"")"),250)</f>
        <v>250</v>
      </c>
      <c r="J647" s="892">
        <f ca="1">IFERROR(__xludf.DUMMYFUNCTION("IMPORTRANGE(""https://docs.google.com/spreadsheets/d/1XWAQStnk-4SwqDmLtmXYiTMKHgktTP8We1SCoS47DrQ/edit?usp=sharing"",""จัดที่ดิน!AU51"")"),98)</f>
        <v>98</v>
      </c>
      <c r="K647" s="1010">
        <f t="shared" ca="1" si="271"/>
        <v>39.200000000000003</v>
      </c>
      <c r="L647" s="1010"/>
      <c r="M647" s="1010"/>
      <c r="N647" s="1010"/>
      <c r="O647" s="1010"/>
      <c r="P647" s="1010"/>
      <c r="Q647" s="1314"/>
      <c r="R647" s="1314"/>
      <c r="S647" s="1314"/>
      <c r="T647" s="1314"/>
      <c r="U647" s="1314"/>
      <c r="V647" s="1314"/>
      <c r="W647" s="1314"/>
      <c r="X647" s="1314"/>
      <c r="Y647" s="1314"/>
      <c r="Z647" s="1314"/>
    </row>
    <row r="648" spans="1:26" ht="18.75">
      <c r="A648" s="1441"/>
      <c r="B648" s="1312"/>
      <c r="C648" s="1313"/>
      <c r="D648" s="1026"/>
      <c r="E648" s="1026"/>
      <c r="F648" s="1026"/>
      <c r="G648" s="1019"/>
      <c r="H648" s="761" t="s">
        <v>46</v>
      </c>
      <c r="I648" s="892">
        <v>0</v>
      </c>
      <c r="J648" s="892">
        <f ca="1">IFERROR(__xludf.DUMMYFUNCTION("IMPORTRANGE(""https://docs.google.com/spreadsheets/d/1XWAQStnk-4SwqDmLtmXYiTMKHgktTP8We1SCoS47DrQ/edit?usp=sharing"",""จัดที่ดิน!AV51"")"),45.08)</f>
        <v>45.08</v>
      </c>
      <c r="K648" s="893">
        <f t="shared" si="271"/>
        <v>0</v>
      </c>
      <c r="L648" s="1010"/>
      <c r="M648" s="1010"/>
      <c r="N648" s="1010"/>
      <c r="O648" s="1010"/>
      <c r="P648" s="1010"/>
      <c r="Q648" s="1314"/>
      <c r="R648" s="1314"/>
      <c r="S648" s="1314"/>
      <c r="T648" s="1314"/>
      <c r="U648" s="1314"/>
      <c r="V648" s="1314"/>
      <c r="W648" s="1314"/>
      <c r="X648" s="1314"/>
      <c r="Y648" s="1314"/>
      <c r="Z648" s="1314"/>
    </row>
    <row r="649" spans="1:26" ht="18.75">
      <c r="A649" s="1441"/>
      <c r="B649" s="1312"/>
      <c r="C649" s="1313"/>
      <c r="D649" s="1026"/>
      <c r="E649" s="1082" t="s">
        <v>277</v>
      </c>
      <c r="F649" s="1026"/>
      <c r="G649" s="1019"/>
      <c r="H649" s="761" t="s">
        <v>35</v>
      </c>
      <c r="I649" s="892">
        <f ca="1">IFERROR(__xludf.DUMMYFUNCTION("IMPORTRANGE(""https://docs.google.com/spreadsheets/d/1QqKyyYR6Q21VydFLVH3TRQUabQu_ym0Zz7PgGX0-kHA/edit?usp=sharing"",""แผน!HS51"")"),250)</f>
        <v>250</v>
      </c>
      <c r="J649" s="892">
        <f ca="1">IFERROR(__xludf.DUMMYFUNCTION("IMPORTRANGE(""https://docs.google.com/spreadsheets/d/1XWAQStnk-4SwqDmLtmXYiTMKHgktTP8We1SCoS47DrQ/edit?usp=sharing"",""จัดที่ดิน!AW51"")"),76)</f>
        <v>76</v>
      </c>
      <c r="K649" s="1010">
        <f t="shared" ca="1" si="271"/>
        <v>30.4</v>
      </c>
      <c r="L649" s="1010"/>
      <c r="M649" s="1010"/>
      <c r="N649" s="1010"/>
      <c r="O649" s="1010"/>
      <c r="P649" s="1010"/>
      <c r="Q649" s="1314"/>
      <c r="R649" s="1314"/>
      <c r="S649" s="1314"/>
      <c r="T649" s="1314"/>
      <c r="U649" s="1314"/>
      <c r="V649" s="1314"/>
      <c r="W649" s="1314"/>
      <c r="X649" s="1314"/>
      <c r="Y649" s="1314"/>
      <c r="Z649" s="1314"/>
    </row>
    <row r="650" spans="1:26" ht="18.75">
      <c r="A650" s="1441"/>
      <c r="B650" s="1312"/>
      <c r="C650" s="1313"/>
      <c r="D650" s="1026"/>
      <c r="E650" s="1026"/>
      <c r="F650" s="1026"/>
      <c r="G650" s="1019"/>
      <c r="H650" s="761" t="s">
        <v>46</v>
      </c>
      <c r="I650" s="892">
        <v>0</v>
      </c>
      <c r="J650" s="892">
        <f ca="1">IFERROR(__xludf.DUMMYFUNCTION("IMPORTRANGE(""https://docs.google.com/spreadsheets/d/1XWAQStnk-4SwqDmLtmXYiTMKHgktTP8We1SCoS47DrQ/edit?usp=sharing"",""จัดที่ดิน!AX51"")"),33.7)</f>
        <v>33.700000000000003</v>
      </c>
      <c r="K650" s="893">
        <f t="shared" si="271"/>
        <v>0</v>
      </c>
      <c r="L650" s="1010"/>
      <c r="M650" s="1010"/>
      <c r="N650" s="1010"/>
      <c r="O650" s="1010"/>
      <c r="P650" s="1010"/>
      <c r="Q650" s="1314"/>
      <c r="R650" s="1314"/>
      <c r="S650" s="1314"/>
      <c r="T650" s="1314"/>
      <c r="U650" s="1314"/>
      <c r="V650" s="1314"/>
      <c r="W650" s="1314"/>
      <c r="X650" s="1314"/>
      <c r="Y650" s="1314"/>
      <c r="Z650" s="1314"/>
    </row>
    <row r="651" spans="1:26" ht="18.75">
      <c r="A651" s="1441"/>
      <c r="B651" s="1312"/>
      <c r="C651" s="1313"/>
      <c r="D651" s="1026"/>
      <c r="E651" s="1082" t="s">
        <v>278</v>
      </c>
      <c r="F651" s="1026"/>
      <c r="G651" s="1019"/>
      <c r="H651" s="761" t="s">
        <v>35</v>
      </c>
      <c r="I651" s="892">
        <f ca="1">IFERROR(__xludf.DUMMYFUNCTION("IMPORTRANGE(""https://docs.google.com/spreadsheets/d/1QqKyyYR6Q21VydFLVH3TRQUabQu_ym0Zz7PgGX0-kHA/edit?usp=sharing"",""แผน!HS51"")"),250)</f>
        <v>250</v>
      </c>
      <c r="J651" s="892">
        <f ca="1">IFERROR(__xludf.DUMMYFUNCTION("IMPORTRANGE(""https://docs.google.com/spreadsheets/d/1XWAQStnk-4SwqDmLtmXYiTMKHgktTP8We1SCoS47DrQ/edit?usp=sharing"",""จัดที่ดิน!AY51"")"),50)</f>
        <v>50</v>
      </c>
      <c r="K651" s="1010">
        <f t="shared" ca="1" si="271"/>
        <v>20</v>
      </c>
      <c r="L651" s="1010"/>
      <c r="M651" s="1010"/>
      <c r="N651" s="1010"/>
      <c r="O651" s="1010"/>
      <c r="P651" s="1010"/>
      <c r="Q651" s="1314"/>
      <c r="R651" s="1314"/>
      <c r="S651" s="1314"/>
      <c r="T651" s="1314"/>
      <c r="U651" s="1314"/>
      <c r="V651" s="1314"/>
      <c r="W651" s="1314"/>
      <c r="X651" s="1314"/>
      <c r="Y651" s="1314"/>
      <c r="Z651" s="1314"/>
    </row>
    <row r="652" spans="1:26" ht="18.75">
      <c r="A652" s="1442"/>
      <c r="B652" s="1443"/>
      <c r="C652" s="1444"/>
      <c r="D652" s="1181"/>
      <c r="E652" s="1181"/>
      <c r="F652" s="1181"/>
      <c r="G652" s="1434"/>
      <c r="H652" s="503" t="s">
        <v>46</v>
      </c>
      <c r="I652" s="1149">
        <v>0</v>
      </c>
      <c r="J652" s="1149">
        <f ca="1">IFERROR(__xludf.DUMMYFUNCTION("IMPORTRANGE(""https://docs.google.com/spreadsheets/d/1XWAQStnk-4SwqDmLtmXYiTMKHgktTP8We1SCoS47DrQ/edit?usp=sharing"",""จัดที่ดิน!AZ51"")"),22.535)</f>
        <v>22.535</v>
      </c>
      <c r="K652" s="1251">
        <f t="shared" si="271"/>
        <v>0</v>
      </c>
      <c r="L652" s="1150"/>
      <c r="M652" s="1150"/>
      <c r="N652" s="1150"/>
      <c r="O652" s="1150"/>
      <c r="P652" s="1150"/>
      <c r="Q652" s="1314"/>
      <c r="R652" s="1314"/>
      <c r="S652" s="1314"/>
      <c r="T652" s="1314"/>
      <c r="U652" s="1314"/>
      <c r="V652" s="1314"/>
      <c r="W652" s="1314"/>
      <c r="X652" s="1314"/>
      <c r="Y652" s="1314"/>
      <c r="Z652" s="1314"/>
    </row>
    <row r="653" spans="1:26" ht="19.5">
      <c r="A653" s="747">
        <v>8</v>
      </c>
      <c r="B653" s="1435" t="s">
        <v>279</v>
      </c>
      <c r="C653" s="1436"/>
      <c r="D653" s="1436"/>
      <c r="E653" s="1436"/>
      <c r="F653" s="1436"/>
      <c r="G653" s="1437"/>
      <c r="H653" s="1437"/>
      <c r="I653" s="1445"/>
      <c r="J653" s="1445"/>
      <c r="K653" s="1440"/>
      <c r="L653" s="1440"/>
      <c r="M653" s="1440"/>
      <c r="N653" s="1440"/>
      <c r="O653" s="1440"/>
      <c r="P653" s="1440"/>
      <c r="Q653" s="1314"/>
      <c r="R653" s="1314"/>
      <c r="S653" s="1314"/>
      <c r="T653" s="1314"/>
      <c r="U653" s="1314"/>
      <c r="V653" s="1314"/>
      <c r="W653" s="1314"/>
      <c r="X653" s="1314"/>
      <c r="Y653" s="1314"/>
      <c r="Z653" s="1314"/>
    </row>
    <row r="654" spans="1:26" ht="19.5">
      <c r="A654" s="1387"/>
      <c r="B654" s="1386" t="s">
        <v>280</v>
      </c>
      <c r="C654" s="1387"/>
      <c r="D654" s="1387"/>
      <c r="E654" s="1387"/>
      <c r="F654" s="1387"/>
      <c r="G654" s="1388"/>
      <c r="H654" s="704" t="s">
        <v>46</v>
      </c>
      <c r="I654" s="1389">
        <f t="shared" ref="I654:J654" ca="1" si="272">I669</f>
        <v>100</v>
      </c>
      <c r="J654" s="1389">
        <f t="shared" si="272"/>
        <v>0</v>
      </c>
      <c r="K654" s="1390">
        <f ca="1">IF(I654&gt;0,J654*100/I654,0)</f>
        <v>0</v>
      </c>
      <c r="L654" s="1391"/>
      <c r="M654" s="1391"/>
      <c r="N654" s="1391"/>
      <c r="O654" s="1391"/>
      <c r="P654" s="1391"/>
      <c r="Q654" s="1314"/>
      <c r="R654" s="1314"/>
      <c r="S654" s="1314"/>
      <c r="T654" s="1314"/>
      <c r="U654" s="1314"/>
      <c r="V654" s="1314"/>
      <c r="W654" s="1314"/>
      <c r="X654" s="1314"/>
      <c r="Y654" s="1314"/>
      <c r="Z654" s="1314"/>
    </row>
    <row r="655" spans="1:26" ht="19.5">
      <c r="A655" s="1329"/>
      <c r="B655" s="1313"/>
      <c r="C655" s="1313" t="s">
        <v>16</v>
      </c>
      <c r="D655" s="1330" t="s">
        <v>17</v>
      </c>
      <c r="E655" s="853"/>
      <c r="F655" s="853"/>
      <c r="G655" s="1028"/>
      <c r="H655" s="596" t="s">
        <v>12</v>
      </c>
      <c r="I655" s="892"/>
      <c r="J655" s="892"/>
      <c r="K655" s="893"/>
      <c r="L655" s="1032">
        <f t="shared" ref="L655:N655" ca="1" si="273">L656+L657</f>
        <v>15600</v>
      </c>
      <c r="M655" s="1032">
        <f t="shared" ca="1" si="273"/>
        <v>15600</v>
      </c>
      <c r="N655" s="1032">
        <f t="shared" si="273"/>
        <v>15380</v>
      </c>
      <c r="O655" s="1032">
        <f t="shared" ref="O655:O660" ca="1" si="274">IF(L655&gt;0,N655*100/L655,0)</f>
        <v>98.589743589743591</v>
      </c>
      <c r="P655" s="1032">
        <f t="shared" ref="P655:P660" ca="1" si="275">IF(M655&gt;0,N655*100/M655,0)</f>
        <v>98.589743589743591</v>
      </c>
      <c r="Q655" s="1314"/>
      <c r="R655" s="1314"/>
      <c r="S655" s="1314"/>
      <c r="T655" s="1314"/>
      <c r="U655" s="1314"/>
      <c r="V655" s="1314"/>
      <c r="W655" s="1314"/>
      <c r="X655" s="1314"/>
      <c r="Y655" s="1314"/>
      <c r="Z655" s="1314"/>
    </row>
    <row r="656" spans="1:26" ht="18.75" hidden="1">
      <c r="A656" s="1331"/>
      <c r="B656" s="1332"/>
      <c r="C656" s="1332"/>
      <c r="D656" s="1333"/>
      <c r="E656" s="1332" t="s">
        <v>185</v>
      </c>
      <c r="F656" s="1332"/>
      <c r="G656" s="1334"/>
      <c r="H656" s="165" t="s">
        <v>12</v>
      </c>
      <c r="I656" s="898"/>
      <c r="J656" s="898"/>
      <c r="K656" s="899"/>
      <c r="L656" s="899">
        <f t="shared" ref="L656:N657" si="276">L659+L666</f>
        <v>0</v>
      </c>
      <c r="M656" s="899">
        <f t="shared" si="276"/>
        <v>0</v>
      </c>
      <c r="N656" s="899">
        <f t="shared" si="276"/>
        <v>0</v>
      </c>
      <c r="O656" s="899">
        <f t="shared" si="274"/>
        <v>0</v>
      </c>
      <c r="P656" s="899">
        <f t="shared" si="275"/>
        <v>0</v>
      </c>
      <c r="Q656" s="1335"/>
      <c r="R656" s="1335"/>
      <c r="S656" s="1335"/>
      <c r="T656" s="1335"/>
      <c r="U656" s="1335"/>
      <c r="V656" s="1335"/>
      <c r="W656" s="1335"/>
      <c r="X656" s="1335"/>
      <c r="Y656" s="1335"/>
      <c r="Z656" s="1335"/>
    </row>
    <row r="657" spans="1:26" ht="18.75" hidden="1">
      <c r="A657" s="1331"/>
      <c r="B657" s="1336"/>
      <c r="C657" s="1332"/>
      <c r="D657" s="1333"/>
      <c r="E657" s="1332" t="s">
        <v>186</v>
      </c>
      <c r="F657" s="1332"/>
      <c r="G657" s="1334"/>
      <c r="H657" s="165" t="s">
        <v>12</v>
      </c>
      <c r="I657" s="898"/>
      <c r="J657" s="898"/>
      <c r="K657" s="899"/>
      <c r="L657" s="899">
        <f t="shared" ca="1" si="276"/>
        <v>15600</v>
      </c>
      <c r="M657" s="899">
        <f t="shared" ca="1" si="276"/>
        <v>15600</v>
      </c>
      <c r="N657" s="899">
        <f t="shared" si="276"/>
        <v>15380</v>
      </c>
      <c r="O657" s="899">
        <f t="shared" ca="1" si="274"/>
        <v>98.589743589743591</v>
      </c>
      <c r="P657" s="899">
        <f t="shared" ca="1" si="275"/>
        <v>98.589743589743591</v>
      </c>
      <c r="Q657" s="1335"/>
      <c r="R657" s="1335"/>
      <c r="S657" s="1335"/>
      <c r="T657" s="1335"/>
      <c r="U657" s="1335"/>
      <c r="V657" s="1335"/>
      <c r="W657" s="1335"/>
      <c r="X657" s="1335"/>
      <c r="Y657" s="1335"/>
      <c r="Z657" s="1335"/>
    </row>
    <row r="658" spans="1:26" ht="18.75">
      <c r="A658" s="1329"/>
      <c r="B658" s="1312"/>
      <c r="C658" s="1313"/>
      <c r="D658" s="1337" t="s">
        <v>20</v>
      </c>
      <c r="E658" s="1313"/>
      <c r="F658" s="1313"/>
      <c r="G658" s="1028"/>
      <c r="H658" s="161" t="s">
        <v>12</v>
      </c>
      <c r="I658" s="1009"/>
      <c r="J658" s="1009"/>
      <c r="K658" s="1010"/>
      <c r="L658" s="893">
        <f t="shared" ref="L658:N658" ca="1" si="277">L659+L660</f>
        <v>15600</v>
      </c>
      <c r="M658" s="893">
        <f t="shared" ca="1" si="277"/>
        <v>15600</v>
      </c>
      <c r="N658" s="893">
        <f t="shared" si="277"/>
        <v>15380</v>
      </c>
      <c r="O658" s="893">
        <f t="shared" ca="1" si="274"/>
        <v>98.589743589743591</v>
      </c>
      <c r="P658" s="893">
        <f t="shared" ca="1" si="275"/>
        <v>98.589743589743591</v>
      </c>
      <c r="Q658" s="1314"/>
      <c r="R658" s="1314"/>
      <c r="S658" s="1314"/>
      <c r="T658" s="1314"/>
      <c r="U658" s="1314"/>
      <c r="V658" s="1314"/>
      <c r="W658" s="1314"/>
      <c r="X658" s="1314"/>
      <c r="Y658" s="1314"/>
      <c r="Z658" s="1314"/>
    </row>
    <row r="659" spans="1:26" ht="18.75" hidden="1">
      <c r="A659" s="1331"/>
      <c r="B659" s="1336"/>
      <c r="C659" s="1332"/>
      <c r="D659" s="1333"/>
      <c r="E659" s="1332" t="s">
        <v>185</v>
      </c>
      <c r="F659" s="1332"/>
      <c r="G659" s="1334"/>
      <c r="H659" s="165" t="s">
        <v>12</v>
      </c>
      <c r="I659" s="898"/>
      <c r="J659" s="898"/>
      <c r="K659" s="899"/>
      <c r="L659" s="899">
        <v>0</v>
      </c>
      <c r="M659" s="899">
        <v>0</v>
      </c>
      <c r="N659" s="899">
        <v>0</v>
      </c>
      <c r="O659" s="899">
        <f t="shared" si="274"/>
        <v>0</v>
      </c>
      <c r="P659" s="899">
        <f t="shared" si="275"/>
        <v>0</v>
      </c>
      <c r="Q659" s="1335"/>
      <c r="R659" s="1335"/>
      <c r="S659" s="1335"/>
      <c r="T659" s="1335"/>
      <c r="U659" s="1335"/>
      <c r="V659" s="1335"/>
      <c r="W659" s="1335"/>
      <c r="X659" s="1335"/>
      <c r="Y659" s="1335"/>
      <c r="Z659" s="1335"/>
    </row>
    <row r="660" spans="1:26" ht="18.75" hidden="1">
      <c r="A660" s="1331"/>
      <c r="B660" s="1336"/>
      <c r="C660" s="1332"/>
      <c r="D660" s="1333"/>
      <c r="E660" s="1332" t="s">
        <v>186</v>
      </c>
      <c r="F660" s="1332"/>
      <c r="G660" s="1334"/>
      <c r="H660" s="165" t="s">
        <v>12</v>
      </c>
      <c r="I660" s="898"/>
      <c r="J660" s="898"/>
      <c r="K660" s="899"/>
      <c r="L660" s="899">
        <f ca="1">IFERROR(__xludf.DUMMYFUNCTION("IMPORTRANGE(""https://docs.google.com/spreadsheets/d/1QqKyyYR6Q21VydFLVH3TRQUabQu_ym0Zz7PgGX0-kHA/edit?usp=sharing"",""แผน!HV51"")"),15600)</f>
        <v>15600</v>
      </c>
      <c r="M660" s="899">
        <f ca="1">L660</f>
        <v>15600</v>
      </c>
      <c r="N660" s="899">
        <f>N661+N662+N663+N664</f>
        <v>15380</v>
      </c>
      <c r="O660" s="899">
        <f t="shared" ca="1" si="274"/>
        <v>98.589743589743591</v>
      </c>
      <c r="P660" s="899">
        <f t="shared" ca="1" si="275"/>
        <v>98.589743589743591</v>
      </c>
      <c r="Q660" s="1335"/>
      <c r="R660" s="1335"/>
      <c r="S660" s="1335"/>
      <c r="T660" s="1335"/>
      <c r="U660" s="1335"/>
      <c r="V660" s="1335"/>
      <c r="W660" s="1335"/>
      <c r="X660" s="1335"/>
      <c r="Y660" s="1335"/>
      <c r="Z660" s="1335"/>
    </row>
    <row r="661" spans="1:26" ht="18.75">
      <c r="A661" s="1311"/>
      <c r="B661" s="1312"/>
      <c r="C661" s="1313"/>
      <c r="D661" s="1313"/>
      <c r="E661" s="1313"/>
      <c r="F661" s="1313" t="s">
        <v>187</v>
      </c>
      <c r="G661" s="1028"/>
      <c r="H661" s="161" t="s">
        <v>12</v>
      </c>
      <c r="I661" s="892"/>
      <c r="J661" s="892"/>
      <c r="K661" s="893"/>
      <c r="L661" s="893"/>
      <c r="M661" s="893"/>
      <c r="N661" s="1096">
        <v>0</v>
      </c>
      <c r="O661" s="893"/>
      <c r="P661" s="893"/>
      <c r="Q661" s="1314"/>
      <c r="R661" s="1314"/>
      <c r="S661" s="1314"/>
      <c r="T661" s="1314"/>
      <c r="U661" s="1314"/>
      <c r="V661" s="1314"/>
      <c r="W661" s="1314"/>
      <c r="X661" s="1314"/>
      <c r="Y661" s="1314"/>
      <c r="Z661" s="1314"/>
    </row>
    <row r="662" spans="1:26" ht="18.75">
      <c r="A662" s="1311"/>
      <c r="B662" s="1312"/>
      <c r="C662" s="1313"/>
      <c r="D662" s="1313"/>
      <c r="E662" s="1313"/>
      <c r="F662" s="1313" t="s">
        <v>188</v>
      </c>
      <c r="G662" s="1028"/>
      <c r="H662" s="161" t="s">
        <v>12</v>
      </c>
      <c r="I662" s="892"/>
      <c r="J662" s="892"/>
      <c r="K662" s="893"/>
      <c r="L662" s="893"/>
      <c r="M662" s="893"/>
      <c r="N662" s="1096">
        <v>0</v>
      </c>
      <c r="O662" s="893"/>
      <c r="P662" s="893"/>
      <c r="Q662" s="1314"/>
      <c r="R662" s="1314"/>
      <c r="S662" s="1314"/>
      <c r="T662" s="1314"/>
      <c r="U662" s="1314"/>
      <c r="V662" s="1314"/>
      <c r="W662" s="1314"/>
      <c r="X662" s="1314"/>
      <c r="Y662" s="1314"/>
      <c r="Z662" s="1314"/>
    </row>
    <row r="663" spans="1:26" ht="18.75">
      <c r="A663" s="1311"/>
      <c r="B663" s="1312"/>
      <c r="C663" s="1312"/>
      <c r="D663" s="1313"/>
      <c r="E663" s="1313"/>
      <c r="F663" s="1313" t="s">
        <v>189</v>
      </c>
      <c r="G663" s="1028"/>
      <c r="H663" s="161" t="s">
        <v>12</v>
      </c>
      <c r="I663" s="892"/>
      <c r="J663" s="892"/>
      <c r="K663" s="893"/>
      <c r="L663" s="893"/>
      <c r="M663" s="893"/>
      <c r="N663" s="1096">
        <v>0</v>
      </c>
      <c r="O663" s="893"/>
      <c r="P663" s="893"/>
      <c r="Q663" s="1314"/>
      <c r="R663" s="1314"/>
      <c r="S663" s="1314"/>
      <c r="T663" s="1314"/>
      <c r="U663" s="1314"/>
      <c r="V663" s="1314"/>
      <c r="W663" s="1314"/>
      <c r="X663" s="1314"/>
      <c r="Y663" s="1314"/>
      <c r="Z663" s="1314"/>
    </row>
    <row r="664" spans="1:26" ht="18.75">
      <c r="A664" s="1311"/>
      <c r="B664" s="1312"/>
      <c r="C664" s="1312"/>
      <c r="D664" s="1312"/>
      <c r="E664" s="1313"/>
      <c r="F664" s="1313" t="s">
        <v>190</v>
      </c>
      <c r="G664" s="1028"/>
      <c r="H664" s="161" t="s">
        <v>12</v>
      </c>
      <c r="I664" s="892"/>
      <c r="J664" s="892"/>
      <c r="K664" s="893"/>
      <c r="L664" s="893"/>
      <c r="M664" s="893"/>
      <c r="N664" s="1096">
        <f>2100+5440+1440+6400</f>
        <v>15380</v>
      </c>
      <c r="O664" s="893"/>
      <c r="P664" s="893"/>
      <c r="Q664" s="1314"/>
      <c r="R664" s="1314"/>
      <c r="S664" s="1314"/>
      <c r="T664" s="1314"/>
      <c r="U664" s="1314"/>
      <c r="V664" s="1314"/>
      <c r="W664" s="1314"/>
      <c r="X664" s="1314"/>
      <c r="Y664" s="1314"/>
      <c r="Z664" s="1314"/>
    </row>
    <row r="665" spans="1:26" ht="18.75">
      <c r="A665" s="1329"/>
      <c r="B665" s="1312"/>
      <c r="C665" s="1312"/>
      <c r="D665" s="1337" t="s">
        <v>21</v>
      </c>
      <c r="E665" s="1313"/>
      <c r="F665" s="1313"/>
      <c r="G665" s="1028"/>
      <c r="H665" s="168" t="s">
        <v>12</v>
      </c>
      <c r="I665" s="1009"/>
      <c r="J665" s="1009"/>
      <c r="K665" s="1010"/>
      <c r="L665" s="893">
        <f t="shared" ref="L665:N665" si="278">L666+L667</f>
        <v>0</v>
      </c>
      <c r="M665" s="893">
        <f t="shared" si="278"/>
        <v>0</v>
      </c>
      <c r="N665" s="893">
        <f t="shared" si="278"/>
        <v>0</v>
      </c>
      <c r="O665" s="893">
        <f t="shared" ref="O665:O667" si="279">IF(L665&gt;0,N665*100/L665,0)</f>
        <v>0</v>
      </c>
      <c r="P665" s="893">
        <f t="shared" ref="P665:P667" si="280">IF(M665&gt;0,N665*100/M665,0)</f>
        <v>0</v>
      </c>
      <c r="Q665" s="1314"/>
      <c r="R665" s="1314"/>
      <c r="S665" s="1314"/>
      <c r="T665" s="1314"/>
      <c r="U665" s="1314"/>
      <c r="V665" s="1314"/>
      <c r="W665" s="1314"/>
      <c r="X665" s="1314"/>
      <c r="Y665" s="1314"/>
      <c r="Z665" s="1314"/>
    </row>
    <row r="666" spans="1:26" ht="18.75" hidden="1">
      <c r="A666" s="1331"/>
      <c r="B666" s="1336"/>
      <c r="C666" s="1336"/>
      <c r="D666" s="1336"/>
      <c r="E666" s="1332" t="s">
        <v>18</v>
      </c>
      <c r="F666" s="1332"/>
      <c r="G666" s="1334"/>
      <c r="H666" s="165" t="s">
        <v>12</v>
      </c>
      <c r="I666" s="1012"/>
      <c r="J666" s="1012"/>
      <c r="K666" s="1013"/>
      <c r="L666" s="899">
        <v>0</v>
      </c>
      <c r="M666" s="899">
        <v>0</v>
      </c>
      <c r="N666" s="899">
        <v>0</v>
      </c>
      <c r="O666" s="899">
        <f t="shared" si="279"/>
        <v>0</v>
      </c>
      <c r="P666" s="899">
        <f t="shared" si="280"/>
        <v>0</v>
      </c>
      <c r="Q666" s="1335"/>
      <c r="R666" s="1335"/>
      <c r="S666" s="1335"/>
      <c r="T666" s="1335"/>
      <c r="U666" s="1335"/>
      <c r="V666" s="1335"/>
      <c r="W666" s="1335"/>
      <c r="X666" s="1335"/>
      <c r="Y666" s="1335"/>
      <c r="Z666" s="1335"/>
    </row>
    <row r="667" spans="1:26" ht="18.75" hidden="1">
      <c r="A667" s="1331"/>
      <c r="B667" s="1336"/>
      <c r="C667" s="1336"/>
      <c r="D667" s="1336"/>
      <c r="E667" s="1332" t="s">
        <v>19</v>
      </c>
      <c r="F667" s="1332"/>
      <c r="G667" s="1334"/>
      <c r="H667" s="169" t="s">
        <v>12</v>
      </c>
      <c r="I667" s="1012"/>
      <c r="J667" s="1012"/>
      <c r="K667" s="1013"/>
      <c r="L667" s="899">
        <v>0</v>
      </c>
      <c r="M667" s="899">
        <v>0</v>
      </c>
      <c r="N667" s="899">
        <v>0</v>
      </c>
      <c r="O667" s="899">
        <f t="shared" si="279"/>
        <v>0</v>
      </c>
      <c r="P667" s="899">
        <f t="shared" si="280"/>
        <v>0</v>
      </c>
      <c r="Q667" s="1335"/>
      <c r="R667" s="1335"/>
      <c r="S667" s="1335"/>
      <c r="T667" s="1335"/>
      <c r="U667" s="1335"/>
      <c r="V667" s="1335"/>
      <c r="W667" s="1335"/>
      <c r="X667" s="1335"/>
      <c r="Y667" s="1335"/>
      <c r="Z667" s="1335"/>
    </row>
    <row r="668" spans="1:26" ht="19.5">
      <c r="A668" s="1338"/>
      <c r="B668" s="1339"/>
      <c r="C668" s="1312" t="s">
        <v>16</v>
      </c>
      <c r="D668" s="1340" t="s">
        <v>38</v>
      </c>
      <c r="E668" s="1342"/>
      <c r="F668" s="1342"/>
      <c r="G668" s="1343"/>
      <c r="H668" s="1019"/>
      <c r="I668" s="1009"/>
      <c r="J668" s="1009"/>
      <c r="K668" s="1010"/>
      <c r="L668" s="1010"/>
      <c r="M668" s="1010"/>
      <c r="N668" s="1010"/>
      <c r="O668" s="1010"/>
      <c r="P668" s="1010"/>
      <c r="Q668" s="1314"/>
      <c r="R668" s="1314"/>
      <c r="S668" s="1314"/>
      <c r="T668" s="1314"/>
      <c r="U668" s="1314"/>
      <c r="V668" s="1314"/>
      <c r="W668" s="1314"/>
      <c r="X668" s="1314"/>
      <c r="Y668" s="1314"/>
      <c r="Z668" s="1314"/>
    </row>
    <row r="669" spans="1:26" ht="19.5">
      <c r="A669" s="1338"/>
      <c r="B669" s="1339"/>
      <c r="C669" s="1339"/>
      <c r="D669" s="1339" t="s">
        <v>281</v>
      </c>
      <c r="E669" s="1026"/>
      <c r="F669" s="1026"/>
      <c r="G669" s="1019"/>
      <c r="H669" s="764" t="s">
        <v>46</v>
      </c>
      <c r="I669" s="1031">
        <f ca="1">IFERROR(__xludf.DUMMYFUNCTION("IMPORTRANGE(""https://docs.google.com/spreadsheets/d/1QqKyyYR6Q21VydFLVH3TRQUabQu_ym0Zz7PgGX0-kHA/edit?usp=sharing"",""แผน!IA51"")"),100)</f>
        <v>100</v>
      </c>
      <c r="J669" s="1031">
        <f>J675</f>
        <v>0</v>
      </c>
      <c r="K669" s="1032">
        <f ca="1">IF(I669&gt;0,J669*100/I669,0)</f>
        <v>0</v>
      </c>
      <c r="L669" s="1010"/>
      <c r="M669" s="1010"/>
      <c r="N669" s="1010"/>
      <c r="O669" s="1010"/>
      <c r="P669" s="1010"/>
      <c r="Q669" s="1314"/>
      <c r="R669" s="1314"/>
      <c r="S669" s="1314"/>
      <c r="T669" s="1314"/>
      <c r="U669" s="1314"/>
      <c r="V669" s="1314"/>
      <c r="W669" s="1314"/>
      <c r="X669" s="1314"/>
      <c r="Y669" s="1314"/>
      <c r="Z669" s="1314"/>
    </row>
    <row r="670" spans="1:26" ht="18.75">
      <c r="A670" s="1338"/>
      <c r="B670" s="1339"/>
      <c r="C670" s="1339"/>
      <c r="D670" s="1339"/>
      <c r="E670" s="1026" t="s">
        <v>282</v>
      </c>
      <c r="F670" s="1026"/>
      <c r="G670" s="1019"/>
      <c r="H670" s="761" t="s">
        <v>66</v>
      </c>
      <c r="I670" s="892">
        <f ca="1">IFERROR(__xludf.DUMMYFUNCTION("IMPORTRANGE(""https://docs.google.com/spreadsheets/d/1QqKyyYR6Q21VydFLVH3TRQUabQu_ym0Zz7PgGX0-kHA/edit?usp=sharing"",""แผน!HZ51"")"),6)</f>
        <v>6</v>
      </c>
      <c r="J670" s="1024">
        <v>6</v>
      </c>
      <c r="K670" s="893">
        <f ca="1">IF(I670&gt;0,(J670*100)/I670,0)</f>
        <v>100</v>
      </c>
      <c r="L670" s="1010"/>
      <c r="M670" s="1010"/>
      <c r="N670" s="1010"/>
      <c r="O670" s="1010"/>
      <c r="P670" s="1010"/>
      <c r="Q670" s="1314"/>
      <c r="R670" s="1314"/>
      <c r="S670" s="1314"/>
      <c r="T670" s="1314"/>
      <c r="U670" s="1314"/>
      <c r="V670" s="1314"/>
      <c r="W670" s="1314"/>
      <c r="X670" s="1314"/>
      <c r="Y670" s="1314"/>
      <c r="Z670" s="1314"/>
    </row>
    <row r="671" spans="1:26" ht="18.75">
      <c r="A671" s="1338"/>
      <c r="B671" s="1339"/>
      <c r="C671" s="1339"/>
      <c r="D671" s="1339"/>
      <c r="E671" s="1026" t="s">
        <v>283</v>
      </c>
      <c r="F671" s="1026"/>
      <c r="G671" s="1019"/>
      <c r="H671" s="761" t="s">
        <v>66</v>
      </c>
      <c r="I671" s="892">
        <f ca="1">IFERROR(__xludf.DUMMYFUNCTION("IMPORTRANGE(""https://docs.google.com/spreadsheets/d/1QqKyyYR6Q21VydFLVH3TRQUabQu_ym0Zz7PgGX0-kHA/edit?usp=sharing"",""แผน!HZ51"")"),6)</f>
        <v>6</v>
      </c>
      <c r="J671" s="1024">
        <v>6</v>
      </c>
      <c r="K671" s="893">
        <f ca="1">IF(I$671&gt;0,J671*100/I$671,0)</f>
        <v>100</v>
      </c>
      <c r="L671" s="1010"/>
      <c r="M671" s="1010"/>
      <c r="N671" s="1010"/>
      <c r="O671" s="1010"/>
      <c r="P671" s="1010"/>
      <c r="Q671" s="1314"/>
      <c r="R671" s="1314"/>
      <c r="S671" s="1314"/>
      <c r="T671" s="1314"/>
      <c r="U671" s="1314"/>
      <c r="V671" s="1314"/>
      <c r="W671" s="1314"/>
      <c r="X671" s="1314"/>
      <c r="Y671" s="1314"/>
      <c r="Z671" s="1314"/>
    </row>
    <row r="672" spans="1:26" ht="18.75">
      <c r="A672" s="1338"/>
      <c r="B672" s="1339"/>
      <c r="C672" s="1339"/>
      <c r="D672" s="1339"/>
      <c r="E672" s="1026" t="s">
        <v>284</v>
      </c>
      <c r="F672" s="1026"/>
      <c r="G672" s="1019"/>
      <c r="H672" s="761" t="s">
        <v>46</v>
      </c>
      <c r="I672" s="892"/>
      <c r="J672" s="1024">
        <v>711</v>
      </c>
      <c r="K672" s="893">
        <f t="shared" ref="K672:K675" ca="1" si="281">IF(I$669&gt;0,J672*100/I$669,0)</f>
        <v>711</v>
      </c>
      <c r="L672" s="1010"/>
      <c r="M672" s="1010"/>
      <c r="N672" s="1010"/>
      <c r="O672" s="1010"/>
      <c r="P672" s="1010"/>
      <c r="Q672" s="1314"/>
      <c r="R672" s="1314"/>
      <c r="S672" s="1314"/>
      <c r="T672" s="1314"/>
      <c r="U672" s="1314"/>
      <c r="V672" s="1314"/>
      <c r="W672" s="1314"/>
      <c r="X672" s="1314"/>
      <c r="Y672" s="1314"/>
      <c r="Z672" s="1314"/>
    </row>
    <row r="673" spans="1:26" ht="18.75">
      <c r="A673" s="1338"/>
      <c r="B673" s="1339"/>
      <c r="C673" s="1339"/>
      <c r="D673" s="1339"/>
      <c r="E673" s="1026" t="s">
        <v>285</v>
      </c>
      <c r="F673" s="1026"/>
      <c r="G673" s="1019"/>
      <c r="H673" s="761" t="s">
        <v>46</v>
      </c>
      <c r="I673" s="892"/>
      <c r="J673" s="1024">
        <v>711</v>
      </c>
      <c r="K673" s="893">
        <f t="shared" ca="1" si="281"/>
        <v>711</v>
      </c>
      <c r="L673" s="1010"/>
      <c r="M673" s="1010"/>
      <c r="N673" s="1010"/>
      <c r="O673" s="1010"/>
      <c r="P673" s="1010"/>
      <c r="Q673" s="1314"/>
      <c r="R673" s="1314"/>
      <c r="S673" s="1314"/>
      <c r="T673" s="1314"/>
      <c r="U673" s="1314"/>
      <c r="V673" s="1314"/>
      <c r="W673" s="1314"/>
      <c r="X673" s="1314"/>
      <c r="Y673" s="1314"/>
      <c r="Z673" s="1314"/>
    </row>
    <row r="674" spans="1:26" ht="18.75">
      <c r="A674" s="1338"/>
      <c r="B674" s="1339"/>
      <c r="C674" s="1339"/>
      <c r="D674" s="1339"/>
      <c r="E674" s="1026" t="s">
        <v>286</v>
      </c>
      <c r="F674" s="1026"/>
      <c r="G674" s="1019"/>
      <c r="H674" s="761" t="s">
        <v>46</v>
      </c>
      <c r="I674" s="892"/>
      <c r="J674" s="1024">
        <v>0</v>
      </c>
      <c r="K674" s="893">
        <f t="shared" ca="1" si="281"/>
        <v>0</v>
      </c>
      <c r="L674" s="1010"/>
      <c r="M674" s="1010"/>
      <c r="N674" s="1010"/>
      <c r="O674" s="1010"/>
      <c r="P674" s="1010"/>
      <c r="Q674" s="1314"/>
      <c r="R674" s="1314"/>
      <c r="S674" s="1314"/>
      <c r="T674" s="1314"/>
      <c r="U674" s="1314"/>
      <c r="V674" s="1314"/>
      <c r="W674" s="1314"/>
      <c r="X674" s="1314"/>
      <c r="Y674" s="1314"/>
      <c r="Z674" s="1314"/>
    </row>
    <row r="675" spans="1:26" ht="19.5">
      <c r="A675" s="1338"/>
      <c r="B675" s="1339"/>
      <c r="C675" s="1339"/>
      <c r="D675" s="1339"/>
      <c r="E675" s="1026" t="s">
        <v>287</v>
      </c>
      <c r="F675" s="1026"/>
      <c r="G675" s="1019"/>
      <c r="H675" s="761" t="s">
        <v>46</v>
      </c>
      <c r="I675" s="892"/>
      <c r="J675" s="1031">
        <f>J676+J677</f>
        <v>0</v>
      </c>
      <c r="K675" s="1032">
        <f t="shared" ca="1" si="281"/>
        <v>0</v>
      </c>
      <c r="L675" s="1010"/>
      <c r="M675" s="1010"/>
      <c r="N675" s="1010"/>
      <c r="O675" s="1010"/>
      <c r="P675" s="1010"/>
      <c r="Q675" s="1314"/>
      <c r="R675" s="1314"/>
      <c r="S675" s="1314"/>
      <c r="T675" s="1314"/>
      <c r="U675" s="1314"/>
      <c r="V675" s="1314"/>
      <c r="W675" s="1314"/>
      <c r="X675" s="1314"/>
      <c r="Y675" s="1314"/>
      <c r="Z675" s="1314"/>
    </row>
    <row r="676" spans="1:26" ht="18.75">
      <c r="A676" s="1338"/>
      <c r="B676" s="1339"/>
      <c r="C676" s="1339"/>
      <c r="D676" s="1339"/>
      <c r="E676" s="1026"/>
      <c r="F676" s="1026" t="s">
        <v>288</v>
      </c>
      <c r="G676" s="1019"/>
      <c r="H676" s="761" t="s">
        <v>46</v>
      </c>
      <c r="I676" s="892"/>
      <c r="J676" s="1024">
        <v>0</v>
      </c>
      <c r="K676" s="893"/>
      <c r="L676" s="1010"/>
      <c r="M676" s="1010"/>
      <c r="N676" s="1010"/>
      <c r="O676" s="1010"/>
      <c r="P676" s="1010"/>
      <c r="Q676" s="1314"/>
      <c r="R676" s="1314"/>
      <c r="S676" s="1314"/>
      <c r="T676" s="1314"/>
      <c r="U676" s="1314"/>
      <c r="V676" s="1314"/>
      <c r="W676" s="1314"/>
      <c r="X676" s="1314"/>
      <c r="Y676" s="1314"/>
      <c r="Z676" s="1314"/>
    </row>
    <row r="677" spans="1:26" ht="18.75">
      <c r="A677" s="1338"/>
      <c r="B677" s="1339"/>
      <c r="C677" s="1339"/>
      <c r="D677" s="1339"/>
      <c r="E677" s="1026"/>
      <c r="F677" s="1026" t="s">
        <v>289</v>
      </c>
      <c r="G677" s="1019"/>
      <c r="H677" s="761" t="s">
        <v>46</v>
      </c>
      <c r="I677" s="892"/>
      <c r="J677" s="1024">
        <v>0</v>
      </c>
      <c r="K677" s="893"/>
      <c r="L677" s="1010"/>
      <c r="M677" s="1010"/>
      <c r="N677" s="1010"/>
      <c r="O677" s="1010"/>
      <c r="P677" s="1010"/>
      <c r="Q677" s="1314"/>
      <c r="R677" s="1314"/>
      <c r="S677" s="1314"/>
      <c r="T677" s="1314"/>
      <c r="U677" s="1314"/>
      <c r="V677" s="1314"/>
      <c r="W677" s="1314"/>
      <c r="X677" s="1314"/>
      <c r="Y677" s="1314"/>
      <c r="Z677" s="1314"/>
    </row>
    <row r="678" spans="1:26" ht="19.5">
      <c r="A678" s="1338"/>
      <c r="B678" s="1339"/>
      <c r="C678" s="1339"/>
      <c r="D678" s="1339" t="s">
        <v>290</v>
      </c>
      <c r="E678" s="1026"/>
      <c r="F678" s="1026"/>
      <c r="G678" s="1019"/>
      <c r="H678" s="761" t="s">
        <v>46</v>
      </c>
      <c r="I678" s="1031">
        <f ca="1">IFERROR(__xludf.DUMMYFUNCTION("IMPORTRANGE(""https://docs.google.com/spreadsheets/d/1QqKyyYR6Q21VydFLVH3TRQUabQu_ym0Zz7PgGX0-kHA/edit?usp=sharing"",""แผน!IB51"")"),0)</f>
        <v>0</v>
      </c>
      <c r="J678" s="1031">
        <f>J679</f>
        <v>0</v>
      </c>
      <c r="K678" s="1032">
        <f ca="1">IF(I678&gt;0,J678*100/I678,0)</f>
        <v>0</v>
      </c>
      <c r="L678" s="1010"/>
      <c r="M678" s="1010"/>
      <c r="N678" s="1010"/>
      <c r="O678" s="1010"/>
      <c r="P678" s="1010"/>
      <c r="Q678" s="1314"/>
      <c r="R678" s="1314"/>
      <c r="S678" s="1314"/>
      <c r="T678" s="1314"/>
      <c r="U678" s="1314"/>
      <c r="V678" s="1314"/>
      <c r="W678" s="1314"/>
      <c r="X678" s="1314"/>
      <c r="Y678" s="1314"/>
      <c r="Z678" s="1314"/>
    </row>
    <row r="679" spans="1:26" ht="18.75">
      <c r="A679" s="1338"/>
      <c r="B679" s="1339"/>
      <c r="C679" s="1339"/>
      <c r="D679" s="1339"/>
      <c r="E679" s="1026" t="s">
        <v>291</v>
      </c>
      <c r="F679" s="1026"/>
      <c r="G679" s="1019"/>
      <c r="H679" s="761" t="s">
        <v>46</v>
      </c>
      <c r="I679" s="892"/>
      <c r="J679" s="892">
        <f>J680+J681</f>
        <v>0</v>
      </c>
      <c r="K679" s="893"/>
      <c r="L679" s="1010"/>
      <c r="M679" s="1010"/>
      <c r="N679" s="1010"/>
      <c r="O679" s="1010"/>
      <c r="P679" s="1010"/>
      <c r="Q679" s="1314"/>
      <c r="R679" s="1314"/>
      <c r="S679" s="1314"/>
      <c r="T679" s="1314"/>
      <c r="U679" s="1314"/>
      <c r="V679" s="1314"/>
      <c r="W679" s="1314"/>
      <c r="X679" s="1314"/>
      <c r="Y679" s="1314"/>
      <c r="Z679" s="1314"/>
    </row>
    <row r="680" spans="1:26" ht="18.75">
      <c r="A680" s="1338"/>
      <c r="B680" s="1339"/>
      <c r="C680" s="1339"/>
      <c r="D680" s="1339"/>
      <c r="E680" s="1026"/>
      <c r="F680" s="1026" t="s">
        <v>288</v>
      </c>
      <c r="G680" s="1019"/>
      <c r="H680" s="761" t="s">
        <v>46</v>
      </c>
      <c r="I680" s="892"/>
      <c r="J680" s="1024">
        <v>0</v>
      </c>
      <c r="K680" s="893"/>
      <c r="L680" s="1010"/>
      <c r="M680" s="1010"/>
      <c r="N680" s="1010"/>
      <c r="O680" s="1010"/>
      <c r="P680" s="1010"/>
      <c r="Q680" s="1314"/>
      <c r="R680" s="1314"/>
      <c r="S680" s="1314"/>
      <c r="T680" s="1314"/>
      <c r="U680" s="1314"/>
      <c r="V680" s="1314"/>
      <c r="W680" s="1314"/>
      <c r="X680" s="1314"/>
      <c r="Y680" s="1314"/>
      <c r="Z680" s="1314"/>
    </row>
    <row r="681" spans="1:26" ht="18.75">
      <c r="A681" s="1338"/>
      <c r="B681" s="1339"/>
      <c r="C681" s="1339"/>
      <c r="D681" s="1339"/>
      <c r="E681" s="1026"/>
      <c r="F681" s="1026" t="s">
        <v>289</v>
      </c>
      <c r="G681" s="1019"/>
      <c r="H681" s="761" t="s">
        <v>46</v>
      </c>
      <c r="I681" s="892"/>
      <c r="J681" s="1024">
        <v>0</v>
      </c>
      <c r="K681" s="893"/>
      <c r="L681" s="1010"/>
      <c r="M681" s="1010"/>
      <c r="N681" s="1010"/>
      <c r="O681" s="1010"/>
      <c r="P681" s="1010"/>
      <c r="Q681" s="1314"/>
      <c r="R681" s="1314"/>
      <c r="S681" s="1314"/>
      <c r="T681" s="1314"/>
      <c r="U681" s="1314"/>
      <c r="V681" s="1314"/>
      <c r="W681" s="1314"/>
      <c r="X681" s="1314"/>
      <c r="Y681" s="1314"/>
      <c r="Z681" s="1314"/>
    </row>
    <row r="682" spans="1:26" ht="18.75">
      <c r="A682" s="1338"/>
      <c r="B682" s="1339"/>
      <c r="C682" s="1339"/>
      <c r="D682" s="1339"/>
      <c r="E682" s="1026" t="s">
        <v>292</v>
      </c>
      <c r="F682" s="1026"/>
      <c r="G682" s="1019"/>
      <c r="H682" s="761" t="s">
        <v>46</v>
      </c>
      <c r="I682" s="892"/>
      <c r="J682" s="1024">
        <v>0</v>
      </c>
      <c r="K682" s="893"/>
      <c r="L682" s="1010"/>
      <c r="M682" s="1010"/>
      <c r="N682" s="1010"/>
      <c r="O682" s="1010"/>
      <c r="P682" s="1010"/>
      <c r="Q682" s="1314"/>
      <c r="R682" s="1314"/>
      <c r="S682" s="1314"/>
      <c r="T682" s="1314"/>
      <c r="U682" s="1314"/>
      <c r="V682" s="1314"/>
      <c r="W682" s="1314"/>
      <c r="X682" s="1314"/>
      <c r="Y682" s="1314"/>
      <c r="Z682" s="1314"/>
    </row>
    <row r="683" spans="1:26" ht="18.75">
      <c r="A683" s="1338"/>
      <c r="B683" s="1339"/>
      <c r="C683" s="1339"/>
      <c r="D683" s="1339"/>
      <c r="E683" s="1026"/>
      <c r="F683" s="1026" t="s">
        <v>293</v>
      </c>
      <c r="G683" s="1019"/>
      <c r="H683" s="761" t="s">
        <v>46</v>
      </c>
      <c r="I683" s="892"/>
      <c r="J683" s="1024">
        <v>0</v>
      </c>
      <c r="K683" s="893"/>
      <c r="L683" s="1010"/>
      <c r="M683" s="1010"/>
      <c r="N683" s="1010"/>
      <c r="O683" s="1010"/>
      <c r="P683" s="1010"/>
      <c r="Q683" s="1314"/>
      <c r="R683" s="1314"/>
      <c r="S683" s="1314"/>
      <c r="T683" s="1314"/>
      <c r="U683" s="1314"/>
      <c r="V683" s="1314"/>
      <c r="W683" s="1314"/>
      <c r="X683" s="1314"/>
      <c r="Y683" s="1314"/>
      <c r="Z683" s="1314"/>
    </row>
    <row r="684" spans="1:26" ht="19.5">
      <c r="A684" s="1446"/>
      <c r="B684" s="1447" t="s">
        <v>294</v>
      </c>
      <c r="C684" s="1446"/>
      <c r="D684" s="1446"/>
      <c r="E684" s="1446"/>
      <c r="F684" s="1446"/>
      <c r="G684" s="1448"/>
      <c r="H684" s="1448"/>
      <c r="I684" s="1449"/>
      <c r="J684" s="1449"/>
      <c r="K684" s="1450"/>
      <c r="L684" s="1450"/>
      <c r="M684" s="1450"/>
      <c r="N684" s="1450"/>
      <c r="O684" s="1450"/>
      <c r="P684" s="1450"/>
      <c r="Q684" s="1314"/>
      <c r="R684" s="1314"/>
      <c r="S684" s="1314"/>
      <c r="T684" s="1314"/>
      <c r="U684" s="1314"/>
      <c r="V684" s="1314"/>
      <c r="W684" s="1314"/>
      <c r="X684" s="1314"/>
      <c r="Y684" s="1314"/>
      <c r="Z684" s="1314"/>
    </row>
    <row r="685" spans="1:26" ht="19.5">
      <c r="A685" s="1329"/>
      <c r="B685" s="1313"/>
      <c r="C685" s="1313" t="s">
        <v>16</v>
      </c>
      <c r="D685" s="1330" t="s">
        <v>17</v>
      </c>
      <c r="E685" s="853"/>
      <c r="F685" s="853"/>
      <c r="G685" s="1028"/>
      <c r="H685" s="596" t="s">
        <v>12</v>
      </c>
      <c r="I685" s="892"/>
      <c r="J685" s="892"/>
      <c r="K685" s="893"/>
      <c r="L685" s="1032">
        <f t="shared" ref="L685:N685" ca="1" si="282">L686+L687</f>
        <v>11840</v>
      </c>
      <c r="M685" s="1032">
        <f t="shared" ca="1" si="282"/>
        <v>11840</v>
      </c>
      <c r="N685" s="1032">
        <f t="shared" si="282"/>
        <v>0</v>
      </c>
      <c r="O685" s="1032">
        <f t="shared" ref="O685:O688" ca="1" si="283">IF(L685&gt;0,N685*100/L685,0)</f>
        <v>0</v>
      </c>
      <c r="P685" s="1032">
        <f t="shared" ref="P685:P688" ca="1" si="284">IF(M685&gt;0,N685*100/M685,0)</f>
        <v>0</v>
      </c>
      <c r="Q685" s="1314"/>
      <c r="R685" s="1314"/>
      <c r="S685" s="1314"/>
      <c r="T685" s="1314"/>
      <c r="U685" s="1314"/>
      <c r="V685" s="1314"/>
      <c r="W685" s="1314"/>
      <c r="X685" s="1314"/>
      <c r="Y685" s="1314"/>
      <c r="Z685" s="1314"/>
    </row>
    <row r="686" spans="1:26" ht="18.75" hidden="1">
      <c r="A686" s="1331"/>
      <c r="B686" s="1332"/>
      <c r="C686" s="1332"/>
      <c r="D686" s="1333"/>
      <c r="E686" s="1332" t="s">
        <v>185</v>
      </c>
      <c r="F686" s="1332"/>
      <c r="G686" s="1334"/>
      <c r="H686" s="165" t="s">
        <v>12</v>
      </c>
      <c r="I686" s="898"/>
      <c r="J686" s="898"/>
      <c r="K686" s="899"/>
      <c r="L686" s="899">
        <f t="shared" ref="L686:N687" si="285">L689+L696</f>
        <v>0</v>
      </c>
      <c r="M686" s="899">
        <f t="shared" si="285"/>
        <v>0</v>
      </c>
      <c r="N686" s="899">
        <f t="shared" si="285"/>
        <v>0</v>
      </c>
      <c r="O686" s="899">
        <f t="shared" si="283"/>
        <v>0</v>
      </c>
      <c r="P686" s="899">
        <f t="shared" si="284"/>
        <v>0</v>
      </c>
      <c r="Q686" s="1335"/>
      <c r="R686" s="1335"/>
      <c r="S686" s="1335"/>
      <c r="T686" s="1335"/>
      <c r="U686" s="1335"/>
      <c r="V686" s="1335"/>
      <c r="W686" s="1335"/>
      <c r="X686" s="1335"/>
      <c r="Y686" s="1335"/>
      <c r="Z686" s="1335"/>
    </row>
    <row r="687" spans="1:26" ht="18.75" hidden="1">
      <c r="A687" s="1331"/>
      <c r="B687" s="1336"/>
      <c r="C687" s="1332"/>
      <c r="D687" s="1333"/>
      <c r="E687" s="1332" t="s">
        <v>186</v>
      </c>
      <c r="F687" s="1332"/>
      <c r="G687" s="1334"/>
      <c r="H687" s="165" t="s">
        <v>12</v>
      </c>
      <c r="I687" s="898"/>
      <c r="J687" s="898"/>
      <c r="K687" s="899"/>
      <c r="L687" s="899">
        <f t="shared" ca="1" si="285"/>
        <v>11840</v>
      </c>
      <c r="M687" s="899">
        <f t="shared" ca="1" si="285"/>
        <v>11840</v>
      </c>
      <c r="N687" s="899">
        <f t="shared" si="285"/>
        <v>0</v>
      </c>
      <c r="O687" s="899">
        <f t="shared" ca="1" si="283"/>
        <v>0</v>
      </c>
      <c r="P687" s="899">
        <f t="shared" ca="1" si="284"/>
        <v>0</v>
      </c>
      <c r="Q687" s="1335"/>
      <c r="R687" s="1335"/>
      <c r="S687" s="1335"/>
      <c r="T687" s="1335"/>
      <c r="U687" s="1335"/>
      <c r="V687" s="1335"/>
      <c r="W687" s="1335"/>
      <c r="X687" s="1335"/>
      <c r="Y687" s="1335"/>
      <c r="Z687" s="1335"/>
    </row>
    <row r="688" spans="1:26" ht="18.75">
      <c r="A688" s="1329"/>
      <c r="B688" s="1312"/>
      <c r="C688" s="1313"/>
      <c r="D688" s="1337" t="s">
        <v>20</v>
      </c>
      <c r="E688" s="1313"/>
      <c r="F688" s="1313"/>
      <c r="G688" s="1028"/>
      <c r="H688" s="161" t="s">
        <v>12</v>
      </c>
      <c r="I688" s="1009"/>
      <c r="J688" s="1009"/>
      <c r="K688" s="1010"/>
      <c r="L688" s="893">
        <f t="shared" ref="L688:N688" ca="1" si="286">L689+L690</f>
        <v>11840</v>
      </c>
      <c r="M688" s="893">
        <f t="shared" ca="1" si="286"/>
        <v>11840</v>
      </c>
      <c r="N688" s="893">
        <f t="shared" si="286"/>
        <v>0</v>
      </c>
      <c r="O688" s="893">
        <f t="shared" ca="1" si="283"/>
        <v>0</v>
      </c>
      <c r="P688" s="893">
        <f t="shared" ca="1" si="284"/>
        <v>0</v>
      </c>
      <c r="Q688" s="1314"/>
      <c r="R688" s="1314"/>
      <c r="S688" s="1314"/>
      <c r="T688" s="1314"/>
      <c r="U688" s="1314"/>
      <c r="V688" s="1314"/>
      <c r="W688" s="1314"/>
      <c r="X688" s="1314"/>
      <c r="Y688" s="1314"/>
      <c r="Z688" s="1314"/>
    </row>
    <row r="689" spans="1:26" ht="18.75" hidden="1">
      <c r="A689" s="1331"/>
      <c r="B689" s="1336"/>
      <c r="C689" s="1332"/>
      <c r="D689" s="1333"/>
      <c r="E689" s="1332" t="s">
        <v>185</v>
      </c>
      <c r="F689" s="1332"/>
      <c r="G689" s="1334"/>
      <c r="H689" s="165" t="s">
        <v>12</v>
      </c>
      <c r="I689" s="898"/>
      <c r="J689" s="898"/>
      <c r="K689" s="899"/>
      <c r="L689" s="899">
        <v>0</v>
      </c>
      <c r="M689" s="899">
        <v>0</v>
      </c>
      <c r="N689" s="899">
        <v>0</v>
      </c>
      <c r="O689" s="899"/>
      <c r="P689" s="899"/>
      <c r="Q689" s="1335"/>
      <c r="R689" s="1335"/>
      <c r="S689" s="1335"/>
      <c r="T689" s="1335"/>
      <c r="U689" s="1335"/>
      <c r="V689" s="1335"/>
      <c r="W689" s="1335"/>
      <c r="X689" s="1335"/>
      <c r="Y689" s="1335"/>
      <c r="Z689" s="1335"/>
    </row>
    <row r="690" spans="1:26" ht="18.75" hidden="1">
      <c r="A690" s="1331"/>
      <c r="B690" s="1336"/>
      <c r="C690" s="1332"/>
      <c r="D690" s="1333"/>
      <c r="E690" s="1332" t="s">
        <v>186</v>
      </c>
      <c r="F690" s="1332"/>
      <c r="G690" s="1334"/>
      <c r="H690" s="165" t="s">
        <v>12</v>
      </c>
      <c r="I690" s="898"/>
      <c r="J690" s="898"/>
      <c r="K690" s="899"/>
      <c r="L690" s="899">
        <f ca="1">IFERROR(__xludf.DUMMYFUNCTION("IMPORTRANGE(""https://docs.google.com/spreadsheets/d/1QqKyyYR6Q21VydFLVH3TRQUabQu_ym0Zz7PgGX0-kHA/edit?usp=sharing"",""แผน!HW51"")"),11840)</f>
        <v>11840</v>
      </c>
      <c r="M690" s="899">
        <f ca="1">L690</f>
        <v>11840</v>
      </c>
      <c r="N690" s="899">
        <f>N691+N692+N693+N694</f>
        <v>0</v>
      </c>
      <c r="O690" s="899">
        <f ca="1">IF(L690&gt;0,N690*100/L690,0)</f>
        <v>0</v>
      </c>
      <c r="P690" s="899">
        <f ca="1">IF(M690&gt;0,N690*100/M690,0)</f>
        <v>0</v>
      </c>
      <c r="Q690" s="1335"/>
      <c r="R690" s="1335"/>
      <c r="S690" s="1335"/>
      <c r="T690" s="1335"/>
      <c r="U690" s="1335"/>
      <c r="V690" s="1335"/>
      <c r="W690" s="1335"/>
      <c r="X690" s="1335"/>
      <c r="Y690" s="1335"/>
      <c r="Z690" s="1335"/>
    </row>
    <row r="691" spans="1:26" ht="18.75">
      <c r="A691" s="1311"/>
      <c r="B691" s="1312"/>
      <c r="C691" s="1313"/>
      <c r="D691" s="1313"/>
      <c r="E691" s="1313"/>
      <c r="F691" s="1313" t="s">
        <v>187</v>
      </c>
      <c r="G691" s="1028"/>
      <c r="H691" s="161" t="s">
        <v>12</v>
      </c>
      <c r="I691" s="892"/>
      <c r="J691" s="892"/>
      <c r="K691" s="893"/>
      <c r="L691" s="893"/>
      <c r="M691" s="893"/>
      <c r="N691" s="1096">
        <v>0</v>
      </c>
      <c r="O691" s="893"/>
      <c r="P691" s="893"/>
      <c r="Q691" s="1314"/>
      <c r="R691" s="1314"/>
      <c r="S691" s="1314"/>
      <c r="T691" s="1314"/>
      <c r="U691" s="1314"/>
      <c r="V691" s="1314"/>
      <c r="W691" s="1314"/>
      <c r="X691" s="1314"/>
      <c r="Y691" s="1314"/>
      <c r="Z691" s="1314"/>
    </row>
    <row r="692" spans="1:26" ht="18.75">
      <c r="A692" s="1311"/>
      <c r="B692" s="1312"/>
      <c r="C692" s="1313"/>
      <c r="D692" s="1313"/>
      <c r="E692" s="1313"/>
      <c r="F692" s="1313" t="s">
        <v>188</v>
      </c>
      <c r="G692" s="1028"/>
      <c r="H692" s="161" t="s">
        <v>12</v>
      </c>
      <c r="I692" s="892"/>
      <c r="J692" s="892"/>
      <c r="K692" s="893"/>
      <c r="L692" s="893"/>
      <c r="M692" s="893"/>
      <c r="N692" s="1096">
        <v>0</v>
      </c>
      <c r="O692" s="893"/>
      <c r="P692" s="893"/>
      <c r="Q692" s="1314"/>
      <c r="R692" s="1314"/>
      <c r="S692" s="1314"/>
      <c r="T692" s="1314"/>
      <c r="U692" s="1314"/>
      <c r="V692" s="1314"/>
      <c r="W692" s="1314"/>
      <c r="X692" s="1314"/>
      <c r="Y692" s="1314"/>
      <c r="Z692" s="1314"/>
    </row>
    <row r="693" spans="1:26" ht="18.75">
      <c r="A693" s="1311"/>
      <c r="B693" s="1312"/>
      <c r="C693" s="1313"/>
      <c r="D693" s="1313"/>
      <c r="E693" s="1313"/>
      <c r="F693" s="1313" t="s">
        <v>189</v>
      </c>
      <c r="G693" s="1028"/>
      <c r="H693" s="161" t="s">
        <v>12</v>
      </c>
      <c r="I693" s="892"/>
      <c r="J693" s="892"/>
      <c r="K693" s="893"/>
      <c r="L693" s="893"/>
      <c r="M693" s="893"/>
      <c r="N693" s="1096">
        <v>0</v>
      </c>
      <c r="O693" s="893"/>
      <c r="P693" s="893"/>
      <c r="Q693" s="1314"/>
      <c r="R693" s="1314"/>
      <c r="S693" s="1314"/>
      <c r="T693" s="1314"/>
      <c r="U693" s="1314"/>
      <c r="V693" s="1314"/>
      <c r="W693" s="1314"/>
      <c r="X693" s="1314"/>
      <c r="Y693" s="1314"/>
      <c r="Z693" s="1314"/>
    </row>
    <row r="694" spans="1:26" ht="18.75">
      <c r="A694" s="1311"/>
      <c r="B694" s="1312"/>
      <c r="C694" s="1313"/>
      <c r="D694" s="1313"/>
      <c r="E694" s="1313"/>
      <c r="F694" s="1313" t="s">
        <v>190</v>
      </c>
      <c r="G694" s="1028"/>
      <c r="H694" s="161" t="s">
        <v>12</v>
      </c>
      <c r="I694" s="892"/>
      <c r="J694" s="892"/>
      <c r="K694" s="893"/>
      <c r="L694" s="893"/>
      <c r="M694" s="893"/>
      <c r="N694" s="1096">
        <v>0</v>
      </c>
      <c r="O694" s="893"/>
      <c r="P694" s="893"/>
      <c r="Q694" s="1314"/>
      <c r="R694" s="1314"/>
      <c r="S694" s="1314"/>
      <c r="T694" s="1314"/>
      <c r="U694" s="1314"/>
      <c r="V694" s="1314"/>
      <c r="W694" s="1314"/>
      <c r="X694" s="1314"/>
      <c r="Y694" s="1314"/>
      <c r="Z694" s="1314"/>
    </row>
    <row r="695" spans="1:26" ht="18.75">
      <c r="A695" s="1329"/>
      <c r="B695" s="1312"/>
      <c r="C695" s="1313"/>
      <c r="D695" s="1337" t="s">
        <v>21</v>
      </c>
      <c r="E695" s="1313"/>
      <c r="F695" s="1313"/>
      <c r="G695" s="1028"/>
      <c r="H695" s="168" t="s">
        <v>12</v>
      </c>
      <c r="I695" s="1009"/>
      <c r="J695" s="1009"/>
      <c r="K695" s="1010"/>
      <c r="L695" s="893">
        <f t="shared" ref="L695:N695" si="287">L696+L697</f>
        <v>0</v>
      </c>
      <c r="M695" s="893">
        <f t="shared" si="287"/>
        <v>0</v>
      </c>
      <c r="N695" s="893">
        <f t="shared" si="287"/>
        <v>0</v>
      </c>
      <c r="O695" s="893">
        <f t="shared" ref="O695:O697" si="288">IF(L695&gt;0,N695*100/L695,0)</f>
        <v>0</v>
      </c>
      <c r="P695" s="893">
        <f t="shared" ref="P695:P697" si="289">IF(M695&gt;0,N695*100/M695,0)</f>
        <v>0</v>
      </c>
      <c r="Q695" s="1314"/>
      <c r="R695" s="1314"/>
      <c r="S695" s="1314"/>
      <c r="T695" s="1314"/>
      <c r="U695" s="1314"/>
      <c r="V695" s="1314"/>
      <c r="W695" s="1314"/>
      <c r="X695" s="1314"/>
      <c r="Y695" s="1314"/>
      <c r="Z695" s="1314"/>
    </row>
    <row r="696" spans="1:26" ht="18.75" hidden="1">
      <c r="A696" s="1331"/>
      <c r="B696" s="1336"/>
      <c r="C696" s="1332"/>
      <c r="D696" s="1332"/>
      <c r="E696" s="1332" t="s">
        <v>18</v>
      </c>
      <c r="F696" s="1332"/>
      <c r="G696" s="1334"/>
      <c r="H696" s="165" t="s">
        <v>12</v>
      </c>
      <c r="I696" s="1012"/>
      <c r="J696" s="1012"/>
      <c r="K696" s="1013"/>
      <c r="L696" s="899">
        <v>0</v>
      </c>
      <c r="M696" s="899">
        <v>0</v>
      </c>
      <c r="N696" s="899">
        <v>0</v>
      </c>
      <c r="O696" s="899">
        <f t="shared" si="288"/>
        <v>0</v>
      </c>
      <c r="P696" s="899">
        <f t="shared" si="289"/>
        <v>0</v>
      </c>
      <c r="Q696" s="1335"/>
      <c r="R696" s="1335"/>
      <c r="S696" s="1335"/>
      <c r="T696" s="1335"/>
      <c r="U696" s="1335"/>
      <c r="V696" s="1335"/>
      <c r="W696" s="1335"/>
      <c r="X696" s="1335"/>
      <c r="Y696" s="1335"/>
      <c r="Z696" s="1335"/>
    </row>
    <row r="697" spans="1:26" ht="18.75" hidden="1">
      <c r="A697" s="1331"/>
      <c r="B697" s="1336"/>
      <c r="C697" s="1332"/>
      <c r="D697" s="1332"/>
      <c r="E697" s="1332" t="s">
        <v>19</v>
      </c>
      <c r="F697" s="1332"/>
      <c r="G697" s="1334"/>
      <c r="H697" s="169" t="s">
        <v>12</v>
      </c>
      <c r="I697" s="1012"/>
      <c r="J697" s="1012"/>
      <c r="K697" s="1013"/>
      <c r="L697" s="899">
        <v>0</v>
      </c>
      <c r="M697" s="899">
        <v>0</v>
      </c>
      <c r="N697" s="899">
        <v>0</v>
      </c>
      <c r="O697" s="899">
        <f t="shared" si="288"/>
        <v>0</v>
      </c>
      <c r="P697" s="899">
        <f t="shared" si="289"/>
        <v>0</v>
      </c>
      <c r="Q697" s="1335"/>
      <c r="R697" s="1335"/>
      <c r="S697" s="1335"/>
      <c r="T697" s="1335"/>
      <c r="U697" s="1335"/>
      <c r="V697" s="1335"/>
      <c r="W697" s="1335"/>
      <c r="X697" s="1335"/>
      <c r="Y697" s="1335"/>
      <c r="Z697" s="1335"/>
    </row>
    <row r="698" spans="1:26" ht="19.5">
      <c r="A698" s="1338"/>
      <c r="B698" s="1339"/>
      <c r="C698" s="1313" t="s">
        <v>16</v>
      </c>
      <c r="D698" s="1451" t="s">
        <v>38</v>
      </c>
      <c r="E698" s="1342"/>
      <c r="F698" s="1342"/>
      <c r="G698" s="1343"/>
      <c r="H698" s="1019"/>
      <c r="I698" s="1009"/>
      <c r="J698" s="1009"/>
      <c r="K698" s="1010"/>
      <c r="L698" s="1010"/>
      <c r="M698" s="1010"/>
      <c r="N698" s="1010"/>
      <c r="O698" s="1010"/>
      <c r="P698" s="1010"/>
      <c r="Q698" s="1314"/>
      <c r="R698" s="1314"/>
      <c r="S698" s="1314"/>
      <c r="T698" s="1314"/>
      <c r="U698" s="1314"/>
      <c r="V698" s="1314"/>
      <c r="W698" s="1314"/>
      <c r="X698" s="1314"/>
      <c r="Y698" s="1314"/>
      <c r="Z698" s="1314"/>
    </row>
    <row r="699" spans="1:26" ht="18.75">
      <c r="A699" s="1441"/>
      <c r="B699" s="1313"/>
      <c r="C699" s="1313"/>
      <c r="D699" s="1313" t="s">
        <v>295</v>
      </c>
      <c r="E699" s="1313"/>
      <c r="F699" s="1313"/>
      <c r="G699" s="1028"/>
      <c r="H699" s="761" t="s">
        <v>46</v>
      </c>
      <c r="I699" s="1452">
        <f ca="1">IFERROR(__xludf.DUMMYFUNCTION("IMPORTRANGE(""https://docs.google.com/spreadsheets/d/1QqKyyYR6Q21VydFLVH3TRQUabQu_ym0Zz7PgGX0-kHA/edit?usp=sharing"",""แผน!IC51"")"),88)</f>
        <v>88</v>
      </c>
      <c r="J699" s="892">
        <f ca="1">IFERROR(__xludf.DUMMYFUNCTION("IMPORTRANGE(""https://docs.google.com/spreadsheets/d/1XWAQStnk-4SwqDmLtmXYiTMKHgktTP8We1SCoS47DrQ/edit?usp=sharing"",""จัดที่ดิน!BB51"")"),0)</f>
        <v>0</v>
      </c>
      <c r="K699" s="893">
        <f t="shared" ref="K699:K701" ca="1" si="290">IF(I699&gt;0,J699*100/I699,0)</f>
        <v>0</v>
      </c>
      <c r="L699" s="893"/>
      <c r="M699" s="1028"/>
      <c r="N699" s="1453"/>
      <c r="O699" s="893"/>
      <c r="P699" s="893"/>
      <c r="Q699" s="1314"/>
      <c r="R699" s="1314"/>
      <c r="S699" s="1314"/>
      <c r="T699" s="1314"/>
      <c r="U699" s="1314"/>
      <c r="V699" s="1314"/>
      <c r="W699" s="1314"/>
      <c r="X699" s="1314"/>
      <c r="Y699" s="1314"/>
      <c r="Z699" s="1314"/>
    </row>
    <row r="700" spans="1:26" ht="18.75">
      <c r="A700" s="1441"/>
      <c r="B700" s="1313"/>
      <c r="C700" s="1313"/>
      <c r="D700" s="1313" t="s">
        <v>296</v>
      </c>
      <c r="E700" s="1313"/>
      <c r="F700" s="1313"/>
      <c r="G700" s="1028"/>
      <c r="H700" s="761" t="s">
        <v>35</v>
      </c>
      <c r="I700" s="1452">
        <f ca="1">IFERROR(__xludf.DUMMYFUNCTION("IMPORTRANGE(""https://docs.google.com/spreadsheets/d/1QqKyyYR6Q21VydFLVH3TRQUabQu_ym0Zz7PgGX0-kHA/edit?usp=sharing"",""แผน!ID51"")"),17)</f>
        <v>17</v>
      </c>
      <c r="J700" s="892">
        <f ca="1">IFERROR(__xludf.DUMMYFUNCTION("IMPORTRANGE(""https://docs.google.com/spreadsheets/d/1XWAQStnk-4SwqDmLtmXYiTMKHgktTP8We1SCoS47DrQ/edit?usp=sharing"",""จัดที่ดิน!BD51"")"),10)</f>
        <v>10</v>
      </c>
      <c r="K700" s="893">
        <f t="shared" ca="1" si="290"/>
        <v>58.823529411764703</v>
      </c>
      <c r="L700" s="893"/>
      <c r="M700" s="1028"/>
      <c r="N700" s="1453"/>
      <c r="O700" s="893"/>
      <c r="P700" s="893"/>
      <c r="Q700" s="1314"/>
      <c r="R700" s="1314"/>
      <c r="S700" s="1314"/>
      <c r="T700" s="1314"/>
      <c r="U700" s="1314"/>
      <c r="V700" s="1314"/>
      <c r="W700" s="1314"/>
      <c r="X700" s="1314"/>
      <c r="Y700" s="1314"/>
      <c r="Z700" s="1314"/>
    </row>
    <row r="701" spans="1:26" ht="19.5" hidden="1">
      <c r="A701" s="1441"/>
      <c r="B701" s="1313"/>
      <c r="C701" s="1313"/>
      <c r="D701" s="1313" t="s">
        <v>297</v>
      </c>
      <c r="E701" s="1313"/>
      <c r="F701" s="1313"/>
      <c r="G701" s="1028"/>
      <c r="H701" s="764" t="s">
        <v>46</v>
      </c>
      <c r="I701" s="1454">
        <f ca="1">IFERROR(__xludf.DUMMYFUNCTION("IMPORTRANGE(""https://docs.google.com/spreadsheets/d/1QqKyyYR6Q21VydFLVH3TRQUabQu_ym0Zz7PgGX0-kHA/edit?usp=sharing"",""แผน!IE51"")"),0)</f>
        <v>0</v>
      </c>
      <c r="J701" s="1031">
        <f>J704+J707</f>
        <v>0</v>
      </c>
      <c r="K701" s="1032">
        <f t="shared" ca="1" si="290"/>
        <v>0</v>
      </c>
      <c r="L701" s="893"/>
      <c r="M701" s="1028"/>
      <c r="N701" s="1453"/>
      <c r="O701" s="893"/>
      <c r="P701" s="893"/>
      <c r="Q701" s="1314"/>
      <c r="R701" s="1314"/>
      <c r="S701" s="1314"/>
      <c r="T701" s="1314"/>
      <c r="U701" s="1314"/>
      <c r="V701" s="1314"/>
      <c r="W701" s="1314"/>
      <c r="X701" s="1314"/>
      <c r="Y701" s="1314"/>
      <c r="Z701" s="1314"/>
    </row>
    <row r="702" spans="1:26" ht="18.75" hidden="1">
      <c r="A702" s="1441"/>
      <c r="B702" s="1313"/>
      <c r="C702" s="1313"/>
      <c r="D702" s="1313"/>
      <c r="E702" s="1313" t="s">
        <v>298</v>
      </c>
      <c r="F702" s="1313"/>
      <c r="G702" s="1028"/>
      <c r="H702" s="761" t="s">
        <v>35</v>
      </c>
      <c r="I702" s="1452"/>
      <c r="J702" s="1024">
        <v>0</v>
      </c>
      <c r="K702" s="893"/>
      <c r="L702" s="893"/>
      <c r="M702" s="1028"/>
      <c r="N702" s="1453"/>
      <c r="O702" s="893"/>
      <c r="P702" s="893"/>
      <c r="Q702" s="1314"/>
      <c r="R702" s="1314"/>
      <c r="S702" s="1314"/>
      <c r="T702" s="1314"/>
      <c r="U702" s="1314"/>
      <c r="V702" s="1314"/>
      <c r="W702" s="1314"/>
      <c r="X702" s="1314"/>
      <c r="Y702" s="1314"/>
      <c r="Z702" s="1314"/>
    </row>
    <row r="703" spans="1:26" ht="18.75" hidden="1">
      <c r="A703" s="1441"/>
      <c r="B703" s="1313"/>
      <c r="C703" s="1313"/>
      <c r="D703" s="1313"/>
      <c r="E703" s="1313"/>
      <c r="F703" s="1313"/>
      <c r="G703" s="1028"/>
      <c r="H703" s="761" t="s">
        <v>34</v>
      </c>
      <c r="I703" s="1452"/>
      <c r="J703" s="1024">
        <v>0</v>
      </c>
      <c r="K703" s="893"/>
      <c r="L703" s="893"/>
      <c r="M703" s="1028"/>
      <c r="N703" s="1453"/>
      <c r="O703" s="893"/>
      <c r="P703" s="893"/>
      <c r="Q703" s="1314"/>
      <c r="R703" s="1314"/>
      <c r="S703" s="1314"/>
      <c r="T703" s="1314"/>
      <c r="U703" s="1314"/>
      <c r="V703" s="1314"/>
      <c r="W703" s="1314"/>
      <c r="X703" s="1314"/>
      <c r="Y703" s="1314"/>
      <c r="Z703" s="1314"/>
    </row>
    <row r="704" spans="1:26" ht="18.75" hidden="1">
      <c r="A704" s="1441"/>
      <c r="B704" s="1313"/>
      <c r="C704" s="1313"/>
      <c r="D704" s="1313"/>
      <c r="E704" s="1313"/>
      <c r="F704" s="1313"/>
      <c r="G704" s="1028"/>
      <c r="H704" s="761" t="s">
        <v>46</v>
      </c>
      <c r="I704" s="1452">
        <f ca="1">IFERROR(__xludf.DUMMYFUNCTION("IMPORTRANGE(""https://docs.google.com/spreadsheets/d/1QqKyyYR6Q21VydFLVH3TRQUabQu_ym0Zz7PgGX0-kHA/edit?usp=sharing"",""แผน!IF51"")"),0)</f>
        <v>0</v>
      </c>
      <c r="J704" s="1024">
        <v>0</v>
      </c>
      <c r="K704" s="893"/>
      <c r="L704" s="893"/>
      <c r="M704" s="1028"/>
      <c r="N704" s="1453"/>
      <c r="O704" s="893"/>
      <c r="P704" s="893"/>
      <c r="Q704" s="1314"/>
      <c r="R704" s="1314"/>
      <c r="S704" s="1314"/>
      <c r="T704" s="1314"/>
      <c r="U704" s="1314"/>
      <c r="V704" s="1314"/>
      <c r="W704" s="1314"/>
      <c r="X704" s="1314"/>
      <c r="Y704" s="1314"/>
      <c r="Z704" s="1314"/>
    </row>
    <row r="705" spans="1:26" ht="18.75" hidden="1">
      <c r="A705" s="1441"/>
      <c r="B705" s="1313"/>
      <c r="C705" s="1313"/>
      <c r="D705" s="1313"/>
      <c r="E705" s="1313" t="s">
        <v>299</v>
      </c>
      <c r="F705" s="1313"/>
      <c r="G705" s="1028"/>
      <c r="H705" s="761" t="s">
        <v>35</v>
      </c>
      <c r="I705" s="1452"/>
      <c r="J705" s="1024">
        <v>0</v>
      </c>
      <c r="K705" s="893"/>
      <c r="L705" s="893"/>
      <c r="M705" s="1028"/>
      <c r="N705" s="1453"/>
      <c r="O705" s="893"/>
      <c r="P705" s="893"/>
      <c r="Q705" s="1314"/>
      <c r="R705" s="1314"/>
      <c r="S705" s="1314"/>
      <c r="T705" s="1314"/>
      <c r="U705" s="1314"/>
      <c r="V705" s="1314"/>
      <c r="W705" s="1314"/>
      <c r="X705" s="1314"/>
      <c r="Y705" s="1314"/>
      <c r="Z705" s="1314"/>
    </row>
    <row r="706" spans="1:26" ht="18.75" hidden="1">
      <c r="A706" s="1441"/>
      <c r="B706" s="1313"/>
      <c r="C706" s="1313"/>
      <c r="D706" s="1313"/>
      <c r="E706" s="1313"/>
      <c r="F706" s="1313"/>
      <c r="G706" s="1028"/>
      <c r="H706" s="761" t="s">
        <v>34</v>
      </c>
      <c r="I706" s="1452"/>
      <c r="J706" s="1024">
        <v>0</v>
      </c>
      <c r="K706" s="893"/>
      <c r="L706" s="893"/>
      <c r="M706" s="1028"/>
      <c r="N706" s="1453"/>
      <c r="O706" s="893"/>
      <c r="P706" s="893"/>
      <c r="Q706" s="1314"/>
      <c r="R706" s="1314"/>
      <c r="S706" s="1314"/>
      <c r="T706" s="1314"/>
      <c r="U706" s="1314"/>
      <c r="V706" s="1314"/>
      <c r="W706" s="1314"/>
      <c r="X706" s="1314"/>
      <c r="Y706" s="1314"/>
      <c r="Z706" s="1314"/>
    </row>
    <row r="707" spans="1:26" ht="18.75" hidden="1">
      <c r="A707" s="1441"/>
      <c r="B707" s="1313"/>
      <c r="C707" s="1313"/>
      <c r="D707" s="1313"/>
      <c r="E707" s="1313"/>
      <c r="F707" s="1313"/>
      <c r="G707" s="1028"/>
      <c r="H707" s="761" t="s">
        <v>46</v>
      </c>
      <c r="I707" s="1452">
        <f ca="1">IFERROR(__xludf.DUMMYFUNCTION("IMPORTRANGE(""https://docs.google.com/spreadsheets/d/1QqKyyYR6Q21VydFLVH3TRQUabQu_ym0Zz7PgGX0-kHA/edit?usp=sharing"",""แผน!IG51"")"),0)</f>
        <v>0</v>
      </c>
      <c r="J707" s="1024">
        <v>0</v>
      </c>
      <c r="K707" s="893"/>
      <c r="L707" s="893"/>
      <c r="M707" s="1028"/>
      <c r="N707" s="1453"/>
      <c r="O707" s="893"/>
      <c r="P707" s="893"/>
      <c r="Q707" s="1314"/>
      <c r="R707" s="1314"/>
      <c r="S707" s="1314"/>
      <c r="T707" s="1314"/>
      <c r="U707" s="1314"/>
      <c r="V707" s="1314"/>
      <c r="W707" s="1314"/>
      <c r="X707" s="1314"/>
      <c r="Y707" s="1314"/>
      <c r="Z707" s="1314"/>
    </row>
    <row r="708" spans="1:26" ht="19.5" hidden="1">
      <c r="A708" s="1441"/>
      <c r="B708" s="1313"/>
      <c r="C708" s="1313"/>
      <c r="D708" s="1394" t="s">
        <v>300</v>
      </c>
      <c r="E708" s="1313"/>
      <c r="F708" s="1313"/>
      <c r="G708" s="1028"/>
      <c r="H708" s="764" t="s">
        <v>46</v>
      </c>
      <c r="I708" s="1454">
        <f ca="1">IFERROR(__xludf.DUMMYFUNCTION("IMPORTRANGE(""https://docs.google.com/spreadsheets/d/1QqKyyYR6Q21VydFLVH3TRQUabQu_ym0Zz7PgGX0-kHA/edit?usp=sharing"",""แผน!IH51"")"),0)</f>
        <v>0</v>
      </c>
      <c r="J708" s="1031">
        <f>J714+J717</f>
        <v>0</v>
      </c>
      <c r="K708" s="1032">
        <f ca="1">IF(I708&gt;0,J708*100/I708,0)</f>
        <v>0</v>
      </c>
      <c r="L708" s="893"/>
      <c r="M708" s="1028"/>
      <c r="N708" s="1453"/>
      <c r="O708" s="893"/>
      <c r="P708" s="893"/>
      <c r="Q708" s="1314"/>
      <c r="R708" s="1314"/>
      <c r="S708" s="1314"/>
      <c r="T708" s="1314"/>
      <c r="U708" s="1314"/>
      <c r="V708" s="1314"/>
      <c r="W708" s="1314"/>
      <c r="X708" s="1314"/>
      <c r="Y708" s="1314"/>
      <c r="Z708" s="1314"/>
    </row>
    <row r="709" spans="1:26" ht="18.75" hidden="1">
      <c r="A709" s="1441"/>
      <c r="B709" s="1313"/>
      <c r="C709" s="1313"/>
      <c r="D709" s="1313"/>
      <c r="E709" s="1313" t="s">
        <v>301</v>
      </c>
      <c r="F709" s="1313"/>
      <c r="G709" s="1028"/>
      <c r="H709" s="761" t="s">
        <v>34</v>
      </c>
      <c r="I709" s="1452"/>
      <c r="J709" s="1024">
        <v>0</v>
      </c>
      <c r="K709" s="893"/>
      <c r="L709" s="1453"/>
      <c r="M709" s="1028"/>
      <c r="N709" s="1453"/>
      <c r="O709" s="893"/>
      <c r="P709" s="893"/>
      <c r="Q709" s="1314"/>
      <c r="R709" s="1314"/>
      <c r="S709" s="1314"/>
      <c r="T709" s="1314"/>
      <c r="U709" s="1314"/>
      <c r="V709" s="1314"/>
      <c r="W709" s="1314"/>
      <c r="X709" s="1314"/>
      <c r="Y709" s="1314"/>
      <c r="Z709" s="1314"/>
    </row>
    <row r="710" spans="1:26" ht="18.75" hidden="1">
      <c r="A710" s="1441"/>
      <c r="B710" s="1313"/>
      <c r="C710" s="1313"/>
      <c r="D710" s="1313"/>
      <c r="E710" s="1313"/>
      <c r="F710" s="1313"/>
      <c r="G710" s="1028"/>
      <c r="H710" s="761" t="s">
        <v>46</v>
      </c>
      <c r="I710" s="1452"/>
      <c r="J710" s="1024">
        <v>0</v>
      </c>
      <c r="K710" s="893"/>
      <c r="L710" s="1453"/>
      <c r="M710" s="1028"/>
      <c r="N710" s="1453"/>
      <c r="O710" s="893"/>
      <c r="P710" s="893"/>
      <c r="Q710" s="1314"/>
      <c r="R710" s="1314"/>
      <c r="S710" s="1314"/>
      <c r="T710" s="1314"/>
      <c r="U710" s="1314"/>
      <c r="V710" s="1314"/>
      <c r="W710" s="1314"/>
      <c r="X710" s="1314"/>
      <c r="Y710" s="1314"/>
      <c r="Z710" s="1314"/>
    </row>
    <row r="711" spans="1:26" ht="18.75" hidden="1">
      <c r="A711" s="1441"/>
      <c r="B711" s="1313"/>
      <c r="C711" s="1313"/>
      <c r="D711" s="1313"/>
      <c r="E711" s="1313" t="s">
        <v>302</v>
      </c>
      <c r="F711" s="1313"/>
      <c r="G711" s="1028"/>
      <c r="H711" s="1019"/>
      <c r="I711" s="1452"/>
      <c r="J711" s="892"/>
      <c r="K711" s="893"/>
      <c r="L711" s="1453"/>
      <c r="M711" s="1028"/>
      <c r="N711" s="1453"/>
      <c r="O711" s="893"/>
      <c r="P711" s="893"/>
      <c r="Q711" s="1314"/>
      <c r="R711" s="1314"/>
      <c r="S711" s="1314"/>
      <c r="T711" s="1314"/>
      <c r="U711" s="1314"/>
      <c r="V711" s="1314"/>
      <c r="W711" s="1314"/>
      <c r="X711" s="1314"/>
      <c r="Y711" s="1314"/>
      <c r="Z711" s="1314"/>
    </row>
    <row r="712" spans="1:26" ht="18.75" hidden="1">
      <c r="A712" s="1441"/>
      <c r="B712" s="1313"/>
      <c r="C712" s="1313"/>
      <c r="D712" s="1313"/>
      <c r="E712" s="1313"/>
      <c r="F712" s="1313" t="s">
        <v>303</v>
      </c>
      <c r="G712" s="1028"/>
      <c r="H712" s="761" t="s">
        <v>35</v>
      </c>
      <c r="I712" s="1452"/>
      <c r="J712" s="1024">
        <v>0</v>
      </c>
      <c r="K712" s="893"/>
      <c r="L712" s="1453"/>
      <c r="M712" s="1028"/>
      <c r="N712" s="1453"/>
      <c r="O712" s="893"/>
      <c r="P712" s="893"/>
      <c r="Q712" s="1314"/>
      <c r="R712" s="1314"/>
      <c r="S712" s="1314"/>
      <c r="T712" s="1314"/>
      <c r="U712" s="1314"/>
      <c r="V712" s="1314"/>
      <c r="W712" s="1314"/>
      <c r="X712" s="1314"/>
      <c r="Y712" s="1314"/>
      <c r="Z712" s="1314"/>
    </row>
    <row r="713" spans="1:26" ht="18.75" hidden="1">
      <c r="A713" s="1441"/>
      <c r="B713" s="1313"/>
      <c r="C713" s="1313"/>
      <c r="D713" s="1313"/>
      <c r="E713" s="1313"/>
      <c r="F713" s="1313"/>
      <c r="G713" s="1028"/>
      <c r="H713" s="761" t="s">
        <v>34</v>
      </c>
      <c r="I713" s="1452"/>
      <c r="J713" s="1024">
        <v>0</v>
      </c>
      <c r="K713" s="893"/>
      <c r="L713" s="1453"/>
      <c r="M713" s="1028"/>
      <c r="N713" s="1453"/>
      <c r="O713" s="893"/>
      <c r="P713" s="893"/>
      <c r="Q713" s="1314"/>
      <c r="R713" s="1314"/>
      <c r="S713" s="1314"/>
      <c r="T713" s="1314"/>
      <c r="U713" s="1314"/>
      <c r="V713" s="1314"/>
      <c r="W713" s="1314"/>
      <c r="X713" s="1314"/>
      <c r="Y713" s="1314"/>
      <c r="Z713" s="1314"/>
    </row>
    <row r="714" spans="1:26" ht="18.75" hidden="1">
      <c r="A714" s="1441"/>
      <c r="B714" s="1313"/>
      <c r="C714" s="1313"/>
      <c r="D714" s="1313"/>
      <c r="E714" s="1313"/>
      <c r="F714" s="1313"/>
      <c r="G714" s="1028"/>
      <c r="H714" s="761" t="s">
        <v>46</v>
      </c>
      <c r="I714" s="1452"/>
      <c r="J714" s="1024">
        <v>0</v>
      </c>
      <c r="K714" s="893"/>
      <c r="L714" s="1453"/>
      <c r="M714" s="1028"/>
      <c r="N714" s="1453"/>
      <c r="O714" s="893"/>
      <c r="P714" s="893"/>
      <c r="Q714" s="1314"/>
      <c r="R714" s="1314"/>
      <c r="S714" s="1314"/>
      <c r="T714" s="1314"/>
      <c r="U714" s="1314"/>
      <c r="V714" s="1314"/>
      <c r="W714" s="1314"/>
      <c r="X714" s="1314"/>
      <c r="Y714" s="1314"/>
      <c r="Z714" s="1314"/>
    </row>
    <row r="715" spans="1:26" ht="18.75" hidden="1">
      <c r="A715" s="1441"/>
      <c r="B715" s="1313"/>
      <c r="C715" s="1313"/>
      <c r="D715" s="1313"/>
      <c r="E715" s="1313"/>
      <c r="F715" s="1313" t="s">
        <v>304</v>
      </c>
      <c r="G715" s="1028"/>
      <c r="H715" s="761" t="s">
        <v>35</v>
      </c>
      <c r="I715" s="1452"/>
      <c r="J715" s="1024">
        <v>0</v>
      </c>
      <c r="K715" s="893"/>
      <c r="L715" s="1453"/>
      <c r="M715" s="1028"/>
      <c r="N715" s="1453"/>
      <c r="O715" s="893"/>
      <c r="P715" s="893"/>
      <c r="Q715" s="1314"/>
      <c r="R715" s="1314"/>
      <c r="S715" s="1314"/>
      <c r="T715" s="1314"/>
      <c r="U715" s="1314"/>
      <c r="V715" s="1314"/>
      <c r="W715" s="1314"/>
      <c r="X715" s="1314"/>
      <c r="Y715" s="1314"/>
      <c r="Z715" s="1314"/>
    </row>
    <row r="716" spans="1:26" ht="18.75" hidden="1">
      <c r="A716" s="1441"/>
      <c r="B716" s="1313"/>
      <c r="C716" s="1313"/>
      <c r="D716" s="1313"/>
      <c r="E716" s="1313"/>
      <c r="F716" s="1313"/>
      <c r="G716" s="1028"/>
      <c r="H716" s="761" t="s">
        <v>34</v>
      </c>
      <c r="I716" s="1452"/>
      <c r="J716" s="1024">
        <v>0</v>
      </c>
      <c r="K716" s="893"/>
      <c r="L716" s="1453"/>
      <c r="M716" s="1028"/>
      <c r="N716" s="1453"/>
      <c r="O716" s="893"/>
      <c r="P716" s="893"/>
      <c r="Q716" s="1314"/>
      <c r="R716" s="1314"/>
      <c r="S716" s="1314"/>
      <c r="T716" s="1314"/>
      <c r="U716" s="1314"/>
      <c r="V716" s="1314"/>
      <c r="W716" s="1314"/>
      <c r="X716" s="1314"/>
      <c r="Y716" s="1314"/>
      <c r="Z716" s="1314"/>
    </row>
    <row r="717" spans="1:26" ht="18.75" hidden="1">
      <c r="A717" s="1441"/>
      <c r="B717" s="1313"/>
      <c r="C717" s="1313"/>
      <c r="D717" s="1313"/>
      <c r="E717" s="1313"/>
      <c r="F717" s="1313"/>
      <c r="G717" s="1028"/>
      <c r="H717" s="761" t="s">
        <v>46</v>
      </c>
      <c r="I717" s="1452"/>
      <c r="J717" s="1024">
        <v>0</v>
      </c>
      <c r="K717" s="893"/>
      <c r="L717" s="1453"/>
      <c r="M717" s="1028"/>
      <c r="N717" s="1453"/>
      <c r="O717" s="893"/>
      <c r="P717" s="893"/>
      <c r="Q717" s="1314"/>
      <c r="R717" s="1314"/>
      <c r="S717" s="1314"/>
      <c r="T717" s="1314"/>
      <c r="U717" s="1314"/>
      <c r="V717" s="1314"/>
      <c r="W717" s="1314"/>
      <c r="X717" s="1314"/>
      <c r="Y717" s="1314"/>
      <c r="Z717" s="1314"/>
    </row>
    <row r="718" spans="1:26" ht="18.75" hidden="1">
      <c r="A718" s="1441"/>
      <c r="B718" s="1313"/>
      <c r="C718" s="1313"/>
      <c r="D718" s="1313" t="s">
        <v>305</v>
      </c>
      <c r="E718" s="1313"/>
      <c r="F718" s="1313"/>
      <c r="G718" s="1028"/>
      <c r="H718" s="761" t="s">
        <v>35</v>
      </c>
      <c r="I718" s="1452"/>
      <c r="J718" s="892">
        <f ca="1">IFERROR(__xludf.DUMMYFUNCTION("IMPORTRANGE(""https://docs.google.com/spreadsheets/d/1XWAQStnk-4SwqDmLtmXYiTMKHgktTP8We1SCoS47DrQ/edit?usp=sharing"",""จัดที่ดิน!BF51"")"),0)</f>
        <v>0</v>
      </c>
      <c r="K718" s="893"/>
      <c r="L718" s="893"/>
      <c r="M718" s="1028"/>
      <c r="N718" s="1453"/>
      <c r="O718" s="893"/>
      <c r="P718" s="893"/>
      <c r="Q718" s="1314"/>
      <c r="R718" s="1314"/>
      <c r="S718" s="1314"/>
      <c r="T718" s="1314"/>
      <c r="U718" s="1314"/>
      <c r="V718" s="1314"/>
      <c r="W718" s="1314"/>
      <c r="X718" s="1314"/>
      <c r="Y718" s="1314"/>
      <c r="Z718" s="1314"/>
    </row>
    <row r="719" spans="1:26" ht="18.75" hidden="1">
      <c r="A719" s="1441"/>
      <c r="B719" s="1313"/>
      <c r="C719" s="1313"/>
      <c r="D719" s="1313"/>
      <c r="E719" s="1313"/>
      <c r="F719" s="1313"/>
      <c r="G719" s="1028"/>
      <c r="H719" s="761" t="s">
        <v>34</v>
      </c>
      <c r="I719" s="1452"/>
      <c r="J719" s="892">
        <f ca="1">IFERROR(__xludf.DUMMYFUNCTION("IMPORTRANGE(""https://docs.google.com/spreadsheets/d/1XWAQStnk-4SwqDmLtmXYiTMKHgktTP8We1SCoS47DrQ/edit?usp=sharing"",""จัดที่ดิน!BG51"")"),0)</f>
        <v>0</v>
      </c>
      <c r="K719" s="893"/>
      <c r="L719" s="1453"/>
      <c r="M719" s="1028"/>
      <c r="N719" s="1453"/>
      <c r="O719" s="893"/>
      <c r="P719" s="893"/>
      <c r="Q719" s="1314"/>
      <c r="R719" s="1314"/>
      <c r="S719" s="1314"/>
      <c r="T719" s="1314"/>
      <c r="U719" s="1314"/>
      <c r="V719" s="1314"/>
      <c r="W719" s="1314"/>
      <c r="X719" s="1314"/>
      <c r="Y719" s="1314"/>
      <c r="Z719" s="1314"/>
    </row>
    <row r="720" spans="1:26" ht="18.75" hidden="1">
      <c r="A720" s="1441"/>
      <c r="B720" s="1313"/>
      <c r="C720" s="1313"/>
      <c r="D720" s="1313"/>
      <c r="E720" s="1313"/>
      <c r="F720" s="1313"/>
      <c r="G720" s="1028"/>
      <c r="H720" s="761" t="s">
        <v>46</v>
      </c>
      <c r="I720" s="1452">
        <f ca="1">IFERROR(__xludf.DUMMYFUNCTION("IMPORTRANGE(""https://docs.google.com/spreadsheets/d/1QqKyyYR6Q21VydFLVH3TRQUabQu_ym0Zz7PgGX0-kHA/edit?usp=sharing"",""แผน!II51"")"),0)</f>
        <v>0</v>
      </c>
      <c r="J720" s="892">
        <f ca="1">IFERROR(__xludf.DUMMYFUNCTION("IMPORTRANGE(""https://docs.google.com/spreadsheets/d/1XWAQStnk-4SwqDmLtmXYiTMKHgktTP8We1SCoS47DrQ/edit?usp=sharing"",""จัดที่ดิน!BH51"")"),0)</f>
        <v>0</v>
      </c>
      <c r="K720" s="893">
        <f t="shared" ref="K720:K723" ca="1" si="291">IF(I720&gt;0,J720*100/I720,0)</f>
        <v>0</v>
      </c>
      <c r="L720" s="1453"/>
      <c r="M720" s="1028"/>
      <c r="N720" s="1453"/>
      <c r="O720" s="893"/>
      <c r="P720" s="893"/>
      <c r="Q720" s="1314"/>
      <c r="R720" s="1314"/>
      <c r="S720" s="1314"/>
      <c r="T720" s="1314"/>
      <c r="U720" s="1314"/>
      <c r="V720" s="1314"/>
      <c r="W720" s="1314"/>
      <c r="X720" s="1314"/>
      <c r="Y720" s="1314"/>
      <c r="Z720" s="1314"/>
    </row>
    <row r="721" spans="1:26" ht="19.5" hidden="1">
      <c r="A721" s="1441"/>
      <c r="B721" s="1313"/>
      <c r="C721" s="1313"/>
      <c r="D721" s="1313" t="s">
        <v>306</v>
      </c>
      <c r="E721" s="1313"/>
      <c r="F721" s="1313"/>
      <c r="G721" s="1028"/>
      <c r="H721" s="764" t="s">
        <v>35</v>
      </c>
      <c r="I721" s="1454">
        <f ca="1">IFERROR(__xludf.DUMMYFUNCTION("IMPORTRANGE(""https://docs.google.com/spreadsheets/d/1QqKyyYR6Q21VydFLVH3TRQUabQu_ym0Zz7PgGX0-kHA/edit?usp=sharing"",""แผน!IJ51"")"),0)</f>
        <v>0</v>
      </c>
      <c r="J721" s="1031">
        <f ca="1">J723+J726</f>
        <v>0</v>
      </c>
      <c r="K721" s="1032">
        <f t="shared" ca="1" si="291"/>
        <v>0</v>
      </c>
      <c r="L721" s="1453"/>
      <c r="M721" s="1028"/>
      <c r="N721" s="1453"/>
      <c r="O721" s="893"/>
      <c r="P721" s="893"/>
      <c r="Q721" s="1314"/>
      <c r="R721" s="1314"/>
      <c r="S721" s="1314"/>
      <c r="T721" s="1314"/>
      <c r="U721" s="1314"/>
      <c r="V721" s="1314"/>
      <c r="W721" s="1314"/>
      <c r="X721" s="1314"/>
      <c r="Y721" s="1314"/>
      <c r="Z721" s="1314"/>
    </row>
    <row r="722" spans="1:26" ht="19.5" hidden="1">
      <c r="A722" s="1441"/>
      <c r="B722" s="1313"/>
      <c r="C722" s="1313"/>
      <c r="D722" s="1313"/>
      <c r="E722" s="1313"/>
      <c r="F722" s="1313"/>
      <c r="G722" s="1028"/>
      <c r="H722" s="764" t="s">
        <v>46</v>
      </c>
      <c r="I722" s="1454">
        <f ca="1">IFERROR(__xludf.DUMMYFUNCTION("IMPORTRANGE(""https://docs.google.com/spreadsheets/d/1QqKyyYR6Q21VydFLVH3TRQUabQu_ym0Zz7PgGX0-kHA/edit?usp=sharing"",""แผน!IK51"")"),0)</f>
        <v>0</v>
      </c>
      <c r="J722" s="1031">
        <f ca="1">J725+J728</f>
        <v>0</v>
      </c>
      <c r="K722" s="1032">
        <f t="shared" ca="1" si="291"/>
        <v>0</v>
      </c>
      <c r="L722" s="893"/>
      <c r="M722" s="1028"/>
      <c r="N722" s="1453"/>
      <c r="O722" s="893"/>
      <c r="P722" s="893"/>
      <c r="Q722" s="1314"/>
      <c r="R722" s="1314"/>
      <c r="S722" s="1314"/>
      <c r="T722" s="1314"/>
      <c r="U722" s="1314"/>
      <c r="V722" s="1314"/>
      <c r="W722" s="1314"/>
      <c r="X722" s="1314"/>
      <c r="Y722" s="1314"/>
      <c r="Z722" s="1314"/>
    </row>
    <row r="723" spans="1:26" ht="18.75" hidden="1">
      <c r="A723" s="1441"/>
      <c r="B723" s="1313"/>
      <c r="C723" s="1313"/>
      <c r="D723" s="1313"/>
      <c r="E723" s="1313" t="s">
        <v>307</v>
      </c>
      <c r="F723" s="1313"/>
      <c r="G723" s="1028"/>
      <c r="H723" s="761" t="s">
        <v>35</v>
      </c>
      <c r="I723" s="1452">
        <f ca="1">IFERROR(__xludf.DUMMYFUNCTION("IMPORTRANGE(""https://docs.google.com/spreadsheets/d/1QqKyyYR6Q21VydFLVH3TRQUabQu_ym0Zz7PgGX0-kHA/edit?usp=sharing"",""แผน!IL51"")"),0)</f>
        <v>0</v>
      </c>
      <c r="J723" s="892">
        <f ca="1">IFERROR(__xludf.DUMMYFUNCTION("IMPORTRANGE(""https://docs.google.com/spreadsheets/d/1XWAQStnk-4SwqDmLtmXYiTMKHgktTP8We1SCoS47DrQ/edit?usp=sharing"",""จัดที่ดิน!BM51"")"),0)</f>
        <v>0</v>
      </c>
      <c r="K723" s="893">
        <f t="shared" ca="1" si="291"/>
        <v>0</v>
      </c>
      <c r="L723" s="893"/>
      <c r="M723" s="1028"/>
      <c r="N723" s="1453"/>
      <c r="O723" s="893"/>
      <c r="P723" s="893"/>
      <c r="Q723" s="1314"/>
      <c r="R723" s="1314"/>
      <c r="S723" s="1314"/>
      <c r="T723" s="1314"/>
      <c r="U723" s="1314"/>
      <c r="V723" s="1314"/>
      <c r="W723" s="1314"/>
      <c r="X723" s="1314"/>
      <c r="Y723" s="1314"/>
      <c r="Z723" s="1314"/>
    </row>
    <row r="724" spans="1:26" ht="18.75" hidden="1">
      <c r="A724" s="1441"/>
      <c r="B724" s="1313"/>
      <c r="C724" s="1313"/>
      <c r="D724" s="1313"/>
      <c r="E724" s="1313"/>
      <c r="F724" s="1313"/>
      <c r="G724" s="1028"/>
      <c r="H724" s="761" t="s">
        <v>34</v>
      </c>
      <c r="I724" s="1452"/>
      <c r="J724" s="892">
        <f ca="1">IFERROR(__xludf.DUMMYFUNCTION("IMPORTRANGE(""https://docs.google.com/spreadsheets/d/1XWAQStnk-4SwqDmLtmXYiTMKHgktTP8We1SCoS47DrQ/edit?usp=sharing"",""จัดที่ดิน!BN51"")"),0)</f>
        <v>0</v>
      </c>
      <c r="K724" s="893"/>
      <c r="L724" s="1453"/>
      <c r="M724" s="1028"/>
      <c r="N724" s="1453"/>
      <c r="O724" s="893"/>
      <c r="P724" s="893"/>
      <c r="Q724" s="1314"/>
      <c r="R724" s="1314"/>
      <c r="S724" s="1314"/>
      <c r="T724" s="1314"/>
      <c r="U724" s="1314"/>
      <c r="V724" s="1314"/>
      <c r="W724" s="1314"/>
      <c r="X724" s="1314"/>
      <c r="Y724" s="1314"/>
      <c r="Z724" s="1314"/>
    </row>
    <row r="725" spans="1:26" ht="18.75" hidden="1">
      <c r="A725" s="1441"/>
      <c r="B725" s="1313"/>
      <c r="C725" s="1313"/>
      <c r="D725" s="1313"/>
      <c r="E725" s="1313"/>
      <c r="F725" s="1313"/>
      <c r="G725" s="1028"/>
      <c r="H725" s="761" t="s">
        <v>46</v>
      </c>
      <c r="I725" s="1452">
        <f ca="1">IFERROR(__xludf.DUMMYFUNCTION("IMPORTRANGE(""https://docs.google.com/spreadsheets/d/1QqKyyYR6Q21VydFLVH3TRQUabQu_ym0Zz7PgGX0-kHA/edit?usp=sharing"",""แผน!IM51"")"),0)</f>
        <v>0</v>
      </c>
      <c r="J725" s="892">
        <f ca="1">IFERROR(__xludf.DUMMYFUNCTION("IMPORTRANGE(""https://docs.google.com/spreadsheets/d/1XWAQStnk-4SwqDmLtmXYiTMKHgktTP8We1SCoS47DrQ/edit?usp=sharing"",""จัดที่ดิน!BO51"")"),0)</f>
        <v>0</v>
      </c>
      <c r="K725" s="893">
        <f t="shared" ref="K725:K726" ca="1" si="292">IF(I725&gt;0,J725*100/I725,0)</f>
        <v>0</v>
      </c>
      <c r="L725" s="1453"/>
      <c r="M725" s="1028"/>
      <c r="N725" s="1453"/>
      <c r="O725" s="893"/>
      <c r="P725" s="893"/>
      <c r="Q725" s="1314"/>
      <c r="R725" s="1314"/>
      <c r="S725" s="1314"/>
      <c r="T725" s="1314"/>
      <c r="U725" s="1314"/>
      <c r="V725" s="1314"/>
      <c r="W725" s="1314"/>
      <c r="X725" s="1314"/>
      <c r="Y725" s="1314"/>
      <c r="Z725" s="1314"/>
    </row>
    <row r="726" spans="1:26" ht="18.75" hidden="1">
      <c r="A726" s="1441"/>
      <c r="B726" s="1313"/>
      <c r="C726" s="1313"/>
      <c r="D726" s="1313"/>
      <c r="E726" s="1313" t="s">
        <v>308</v>
      </c>
      <c r="F726" s="1313"/>
      <c r="G726" s="1028"/>
      <c r="H726" s="761" t="s">
        <v>35</v>
      </c>
      <c r="I726" s="1452">
        <f ca="1">IFERROR(__xludf.DUMMYFUNCTION("IMPORTRANGE(""https://docs.google.com/spreadsheets/d/1QqKyyYR6Q21VydFLVH3TRQUabQu_ym0Zz7PgGX0-kHA/edit?usp=sharing"",""แผน!IN51"")"),0)</f>
        <v>0</v>
      </c>
      <c r="J726" s="892">
        <f ca="1">IFERROR(__xludf.DUMMYFUNCTION("IMPORTRANGE(""https://docs.google.com/spreadsheets/d/1XWAQStnk-4SwqDmLtmXYiTMKHgktTP8We1SCoS47DrQ/edit?usp=sharing"",""จัดที่ดิน!BR51"")"),0)</f>
        <v>0</v>
      </c>
      <c r="K726" s="893">
        <f t="shared" ca="1" si="292"/>
        <v>0</v>
      </c>
      <c r="L726" s="893"/>
      <c r="M726" s="1028"/>
      <c r="N726" s="1453"/>
      <c r="O726" s="893"/>
      <c r="P726" s="893"/>
      <c r="Q726" s="1314"/>
      <c r="R726" s="1314"/>
      <c r="S726" s="1314"/>
      <c r="T726" s="1314"/>
      <c r="U726" s="1314"/>
      <c r="V726" s="1314"/>
      <c r="W726" s="1314"/>
      <c r="X726" s="1314"/>
      <c r="Y726" s="1314"/>
      <c r="Z726" s="1314"/>
    </row>
    <row r="727" spans="1:26" ht="18.75" hidden="1">
      <c r="A727" s="1441"/>
      <c r="B727" s="1313"/>
      <c r="C727" s="1313"/>
      <c r="D727" s="1313"/>
      <c r="E727" s="1313"/>
      <c r="F727" s="1313"/>
      <c r="G727" s="1028"/>
      <c r="H727" s="761" t="s">
        <v>34</v>
      </c>
      <c r="I727" s="1452"/>
      <c r="J727" s="892">
        <f ca="1">IFERROR(__xludf.DUMMYFUNCTION("IMPORTRANGE(""https://docs.google.com/spreadsheets/d/1XWAQStnk-4SwqDmLtmXYiTMKHgktTP8We1SCoS47DrQ/edit?usp=sharing"",""จัดที่ดิน!BS51"")"),0)</f>
        <v>0</v>
      </c>
      <c r="K727" s="893"/>
      <c r="L727" s="1453"/>
      <c r="M727" s="1028"/>
      <c r="N727" s="1453"/>
      <c r="O727" s="893"/>
      <c r="P727" s="893"/>
      <c r="Q727" s="1314"/>
      <c r="R727" s="1314"/>
      <c r="S727" s="1314"/>
      <c r="T727" s="1314"/>
      <c r="U727" s="1314"/>
      <c r="V727" s="1314"/>
      <c r="W727" s="1314"/>
      <c r="X727" s="1314"/>
      <c r="Y727" s="1314"/>
      <c r="Z727" s="1314"/>
    </row>
    <row r="728" spans="1:26" ht="18.75" hidden="1">
      <c r="A728" s="1441"/>
      <c r="B728" s="1313"/>
      <c r="C728" s="1313"/>
      <c r="D728" s="1313"/>
      <c r="E728" s="1313"/>
      <c r="F728" s="1313"/>
      <c r="G728" s="1028"/>
      <c r="H728" s="761" t="s">
        <v>46</v>
      </c>
      <c r="I728" s="1452">
        <f ca="1">IFERROR(__xludf.DUMMYFUNCTION("IMPORTRANGE(""https://docs.google.com/spreadsheets/d/1QqKyyYR6Q21VydFLVH3TRQUabQu_ym0Zz7PgGX0-kHA/edit?usp=sharing"",""แผน!IO51"")"),0)</f>
        <v>0</v>
      </c>
      <c r="J728" s="892">
        <f ca="1">IFERROR(__xludf.DUMMYFUNCTION("IMPORTRANGE(""https://docs.google.com/spreadsheets/d/1XWAQStnk-4SwqDmLtmXYiTMKHgktTP8We1SCoS47DrQ/edit?usp=sharing"",""จัดที่ดิน!BT51"")"),0)</f>
        <v>0</v>
      </c>
      <c r="K728" s="893">
        <f t="shared" ref="K728:K729" ca="1" si="293">IF(I728&gt;0,J728*100/I728,0)</f>
        <v>0</v>
      </c>
      <c r="L728" s="1453"/>
      <c r="M728" s="1028"/>
      <c r="N728" s="1453"/>
      <c r="O728" s="893"/>
      <c r="P728" s="893"/>
      <c r="Q728" s="1314"/>
      <c r="R728" s="1314"/>
      <c r="S728" s="1314"/>
      <c r="T728" s="1314"/>
      <c r="U728" s="1314"/>
      <c r="V728" s="1314"/>
      <c r="W728" s="1314"/>
      <c r="X728" s="1314"/>
      <c r="Y728" s="1314"/>
      <c r="Z728" s="1314"/>
    </row>
    <row r="729" spans="1:26" ht="19.5" hidden="1">
      <c r="A729" s="1441"/>
      <c r="B729" s="1313"/>
      <c r="C729" s="1313"/>
      <c r="D729" s="1313" t="s">
        <v>309</v>
      </c>
      <c r="E729" s="1313"/>
      <c r="F729" s="1313"/>
      <c r="G729" s="1028"/>
      <c r="H729" s="764" t="s">
        <v>46</v>
      </c>
      <c r="I729" s="1454">
        <f ca="1">IFERROR(__xludf.DUMMYFUNCTION("IMPORTRANGE(""https://docs.google.com/spreadsheets/d/1QqKyyYR6Q21VydFLVH3TRQUabQu_ym0Zz7PgGX0-kHA/edit?usp=sharing"",""แผน!IP51"")"),0)</f>
        <v>0</v>
      </c>
      <c r="J729" s="1031">
        <f>J732+J735</f>
        <v>0</v>
      </c>
      <c r="K729" s="1032">
        <f t="shared" ca="1" si="293"/>
        <v>0</v>
      </c>
      <c r="L729" s="893"/>
      <c r="M729" s="1028"/>
      <c r="N729" s="1453"/>
      <c r="O729" s="893"/>
      <c r="P729" s="893"/>
      <c r="Q729" s="1314"/>
      <c r="R729" s="1314"/>
      <c r="S729" s="1314"/>
      <c r="T729" s="1314"/>
      <c r="U729" s="1314"/>
      <c r="V729" s="1314"/>
      <c r="W729" s="1314"/>
      <c r="X729" s="1314"/>
      <c r="Y729" s="1314"/>
      <c r="Z729" s="1314"/>
    </row>
    <row r="730" spans="1:26" ht="18.75" hidden="1">
      <c r="A730" s="1441"/>
      <c r="B730" s="1313"/>
      <c r="C730" s="1313"/>
      <c r="D730" s="1313"/>
      <c r="E730" s="1313" t="s">
        <v>310</v>
      </c>
      <c r="F730" s="1313"/>
      <c r="G730" s="1028"/>
      <c r="H730" s="761" t="s">
        <v>35</v>
      </c>
      <c r="I730" s="1452"/>
      <c r="J730" s="1024">
        <v>0</v>
      </c>
      <c r="K730" s="893"/>
      <c r="L730" s="1453"/>
      <c r="M730" s="893"/>
      <c r="N730" s="1453"/>
      <c r="O730" s="893"/>
      <c r="P730" s="893"/>
      <c r="Q730" s="1314"/>
      <c r="R730" s="1314"/>
      <c r="S730" s="1314"/>
      <c r="T730" s="1314"/>
      <c r="U730" s="1314"/>
      <c r="V730" s="1314"/>
      <c r="W730" s="1314"/>
      <c r="X730" s="1314"/>
      <c r="Y730" s="1314"/>
      <c r="Z730" s="1314"/>
    </row>
    <row r="731" spans="1:26" ht="18.75" hidden="1">
      <c r="A731" s="1441"/>
      <c r="B731" s="1313"/>
      <c r="C731" s="1313"/>
      <c r="D731" s="1313"/>
      <c r="E731" s="1313"/>
      <c r="F731" s="1313"/>
      <c r="G731" s="1028"/>
      <c r="H731" s="761" t="s">
        <v>34</v>
      </c>
      <c r="I731" s="1452"/>
      <c r="J731" s="1024">
        <v>0</v>
      </c>
      <c r="K731" s="893"/>
      <c r="L731" s="1453"/>
      <c r="M731" s="893"/>
      <c r="N731" s="1453"/>
      <c r="O731" s="893"/>
      <c r="P731" s="893"/>
      <c r="Q731" s="1314"/>
      <c r="R731" s="1314"/>
      <c r="S731" s="1314"/>
      <c r="T731" s="1314"/>
      <c r="U731" s="1314"/>
      <c r="V731" s="1314"/>
      <c r="W731" s="1314"/>
      <c r="X731" s="1314"/>
      <c r="Y731" s="1314"/>
      <c r="Z731" s="1314"/>
    </row>
    <row r="732" spans="1:26" ht="18.75" hidden="1">
      <c r="A732" s="1441"/>
      <c r="B732" s="1313"/>
      <c r="C732" s="1313"/>
      <c r="D732" s="1313"/>
      <c r="E732" s="1313"/>
      <c r="F732" s="1313"/>
      <c r="G732" s="1028"/>
      <c r="H732" s="761" t="s">
        <v>46</v>
      </c>
      <c r="I732" s="1452"/>
      <c r="J732" s="1024">
        <v>0</v>
      </c>
      <c r="K732" s="893"/>
      <c r="L732" s="1453"/>
      <c r="M732" s="893"/>
      <c r="N732" s="1453"/>
      <c r="O732" s="893"/>
      <c r="P732" s="893"/>
      <c r="Q732" s="1314"/>
      <c r="R732" s="1314"/>
      <c r="S732" s="1314"/>
      <c r="T732" s="1314"/>
      <c r="U732" s="1314"/>
      <c r="V732" s="1314"/>
      <c r="W732" s="1314"/>
      <c r="X732" s="1314"/>
      <c r="Y732" s="1314"/>
      <c r="Z732" s="1314"/>
    </row>
    <row r="733" spans="1:26" ht="18.75" hidden="1">
      <c r="A733" s="1441"/>
      <c r="B733" s="1313"/>
      <c r="C733" s="1313"/>
      <c r="D733" s="1313"/>
      <c r="E733" s="1313" t="s">
        <v>311</v>
      </c>
      <c r="F733" s="1313"/>
      <c r="G733" s="1028"/>
      <c r="H733" s="761" t="s">
        <v>35</v>
      </c>
      <c r="I733" s="1452"/>
      <c r="J733" s="1024">
        <v>0</v>
      </c>
      <c r="K733" s="893"/>
      <c r="L733" s="1453"/>
      <c r="M733" s="893"/>
      <c r="N733" s="1453"/>
      <c r="O733" s="893"/>
      <c r="P733" s="893"/>
      <c r="Q733" s="1314"/>
      <c r="R733" s="1314"/>
      <c r="S733" s="1314"/>
      <c r="T733" s="1314"/>
      <c r="U733" s="1314"/>
      <c r="V733" s="1314"/>
      <c r="W733" s="1314"/>
      <c r="X733" s="1314"/>
      <c r="Y733" s="1314"/>
      <c r="Z733" s="1314"/>
    </row>
    <row r="734" spans="1:26" ht="18.75" hidden="1">
      <c r="A734" s="1441"/>
      <c r="B734" s="1313"/>
      <c r="C734" s="1313"/>
      <c r="D734" s="1313"/>
      <c r="E734" s="1313"/>
      <c r="F734" s="1313"/>
      <c r="G734" s="1028"/>
      <c r="H734" s="761" t="s">
        <v>34</v>
      </c>
      <c r="I734" s="1452"/>
      <c r="J734" s="1024">
        <v>0</v>
      </c>
      <c r="K734" s="893"/>
      <c r="L734" s="1453"/>
      <c r="M734" s="893"/>
      <c r="N734" s="1453"/>
      <c r="O734" s="893"/>
      <c r="P734" s="893"/>
      <c r="Q734" s="1314"/>
      <c r="R734" s="1314"/>
      <c r="S734" s="1314"/>
      <c r="T734" s="1314"/>
      <c r="U734" s="1314"/>
      <c r="V734" s="1314"/>
      <c r="W734" s="1314"/>
      <c r="X734" s="1314"/>
      <c r="Y734" s="1314"/>
      <c r="Z734" s="1314"/>
    </row>
    <row r="735" spans="1:26" ht="19.5" hidden="1">
      <c r="A735" s="1455"/>
      <c r="B735" s="1456" t="s">
        <v>312</v>
      </c>
      <c r="C735" s="1181"/>
      <c r="D735" s="1181"/>
      <c r="E735" s="1181"/>
      <c r="F735" s="1181"/>
      <c r="G735" s="1434"/>
      <c r="H735" s="422" t="s">
        <v>46</v>
      </c>
      <c r="I735" s="1457"/>
      <c r="J735" s="1183">
        <v>0</v>
      </c>
      <c r="K735" s="1251"/>
      <c r="L735" s="1458"/>
      <c r="M735" s="1251"/>
      <c r="N735" s="1458"/>
      <c r="O735" s="1251"/>
      <c r="P735" s="1251"/>
      <c r="Q735" s="1314"/>
      <c r="R735" s="1314"/>
      <c r="S735" s="1314"/>
      <c r="T735" s="1314"/>
      <c r="U735" s="1314"/>
      <c r="V735" s="1314"/>
      <c r="W735" s="1314"/>
      <c r="X735" s="1314"/>
      <c r="Y735" s="1314"/>
      <c r="Z735" s="1314"/>
    </row>
    <row r="736" spans="1:26" ht="19.5" hidden="1">
      <c r="A736" s="771">
        <v>9</v>
      </c>
      <c r="B736" s="1459" t="s">
        <v>313</v>
      </c>
      <c r="C736" s="1460"/>
      <c r="D736" s="1460"/>
      <c r="E736" s="1460"/>
      <c r="F736" s="1460"/>
      <c r="G736" s="1461"/>
      <c r="H736" s="775" t="s">
        <v>46</v>
      </c>
      <c r="I736" s="1462"/>
      <c r="J736" s="1462">
        <f>J751</f>
        <v>0</v>
      </c>
      <c r="K736" s="1463">
        <f>IF(I736&gt;0,J736*100/I736,0)</f>
        <v>0</v>
      </c>
      <c r="L736" s="1464"/>
      <c r="M736" s="1464"/>
      <c r="N736" s="1464"/>
      <c r="O736" s="1464"/>
      <c r="P736" s="1464"/>
      <c r="Q736" s="1335"/>
      <c r="R736" s="1335"/>
      <c r="S736" s="1335"/>
      <c r="T736" s="1335"/>
      <c r="U736" s="1335"/>
      <c r="V736" s="1335"/>
      <c r="W736" s="1335"/>
      <c r="X736" s="1335"/>
      <c r="Y736" s="1335"/>
      <c r="Z736" s="1335"/>
    </row>
    <row r="737" spans="1:26" ht="19.5" hidden="1">
      <c r="A737" s="1331"/>
      <c r="B737" s="1332"/>
      <c r="C737" s="1332" t="s">
        <v>16</v>
      </c>
      <c r="D737" s="1363" t="s">
        <v>17</v>
      </c>
      <c r="E737" s="853"/>
      <c r="F737" s="853"/>
      <c r="G737" s="1334"/>
      <c r="H737" s="643" t="s">
        <v>12</v>
      </c>
      <c r="I737" s="898"/>
      <c r="J737" s="898"/>
      <c r="K737" s="899"/>
      <c r="L737" s="1364">
        <f t="shared" ref="L737:N737" si="294">L738+L739</f>
        <v>0</v>
      </c>
      <c r="M737" s="1364">
        <f t="shared" si="294"/>
        <v>0</v>
      </c>
      <c r="N737" s="1364">
        <f t="shared" si="294"/>
        <v>0</v>
      </c>
      <c r="O737" s="1364">
        <f t="shared" ref="O737:O742" si="295">IF(L737&gt;0,N737*100/L737,0)</f>
        <v>0</v>
      </c>
      <c r="P737" s="1364">
        <f t="shared" ref="P737:P742" si="296">IF(M737&gt;0,N737*100/M737,0)</f>
        <v>0</v>
      </c>
      <c r="Q737" s="1335"/>
      <c r="R737" s="1335"/>
      <c r="S737" s="1335"/>
      <c r="T737" s="1335"/>
      <c r="U737" s="1335"/>
      <c r="V737" s="1335"/>
      <c r="W737" s="1335"/>
      <c r="X737" s="1335"/>
      <c r="Y737" s="1335"/>
      <c r="Z737" s="1335"/>
    </row>
    <row r="738" spans="1:26" ht="18.75" hidden="1">
      <c r="A738" s="1331"/>
      <c r="B738" s="1332"/>
      <c r="C738" s="1332"/>
      <c r="D738" s="1333"/>
      <c r="E738" s="1332" t="s">
        <v>185</v>
      </c>
      <c r="F738" s="1332"/>
      <c r="G738" s="1334"/>
      <c r="H738" s="165" t="s">
        <v>12</v>
      </c>
      <c r="I738" s="898"/>
      <c r="J738" s="898"/>
      <c r="K738" s="899"/>
      <c r="L738" s="899">
        <f t="shared" ref="L738:N739" si="297">L741+L748</f>
        <v>0</v>
      </c>
      <c r="M738" s="899">
        <f t="shared" si="297"/>
        <v>0</v>
      </c>
      <c r="N738" s="899">
        <f t="shared" si="297"/>
        <v>0</v>
      </c>
      <c r="O738" s="899">
        <f t="shared" si="295"/>
        <v>0</v>
      </c>
      <c r="P738" s="899">
        <f t="shared" si="296"/>
        <v>0</v>
      </c>
      <c r="Q738" s="1335"/>
      <c r="R738" s="1335"/>
      <c r="S738" s="1335"/>
      <c r="T738" s="1335"/>
      <c r="U738" s="1335"/>
      <c r="V738" s="1335"/>
      <c r="W738" s="1335"/>
      <c r="X738" s="1335"/>
      <c r="Y738" s="1335"/>
      <c r="Z738" s="1335"/>
    </row>
    <row r="739" spans="1:26" ht="18.75" hidden="1">
      <c r="A739" s="1331"/>
      <c r="B739" s="1336"/>
      <c r="C739" s="1332"/>
      <c r="D739" s="1333"/>
      <c r="E739" s="1332" t="s">
        <v>186</v>
      </c>
      <c r="F739" s="1332"/>
      <c r="G739" s="1334"/>
      <c r="H739" s="165" t="s">
        <v>12</v>
      </c>
      <c r="I739" s="898"/>
      <c r="J739" s="898"/>
      <c r="K739" s="899"/>
      <c r="L739" s="899">
        <f t="shared" si="297"/>
        <v>0</v>
      </c>
      <c r="M739" s="899">
        <f t="shared" si="297"/>
        <v>0</v>
      </c>
      <c r="N739" s="899">
        <f t="shared" si="297"/>
        <v>0</v>
      </c>
      <c r="O739" s="899">
        <f t="shared" si="295"/>
        <v>0</v>
      </c>
      <c r="P739" s="899">
        <f t="shared" si="296"/>
        <v>0</v>
      </c>
      <c r="Q739" s="1335"/>
      <c r="R739" s="1335"/>
      <c r="S739" s="1335"/>
      <c r="T739" s="1335"/>
      <c r="U739" s="1335"/>
      <c r="V739" s="1335"/>
      <c r="W739" s="1335"/>
      <c r="X739" s="1335"/>
      <c r="Y739" s="1335"/>
      <c r="Z739" s="1335"/>
    </row>
    <row r="740" spans="1:26" ht="19.5" hidden="1">
      <c r="A740" s="1331"/>
      <c r="B740" s="1336"/>
      <c r="C740" s="1332"/>
      <c r="D740" s="1465" t="s">
        <v>20</v>
      </c>
      <c r="E740" s="1332"/>
      <c r="F740" s="1332"/>
      <c r="G740" s="1334"/>
      <c r="H740" s="643" t="s">
        <v>12</v>
      </c>
      <c r="I740" s="1012"/>
      <c r="J740" s="1012"/>
      <c r="K740" s="1013"/>
      <c r="L740" s="1364">
        <f t="shared" ref="L740:N740" si="298">L741+L742</f>
        <v>0</v>
      </c>
      <c r="M740" s="1364">
        <f t="shared" si="298"/>
        <v>0</v>
      </c>
      <c r="N740" s="1364">
        <f t="shared" si="298"/>
        <v>0</v>
      </c>
      <c r="O740" s="1364">
        <f t="shared" si="295"/>
        <v>0</v>
      </c>
      <c r="P740" s="1364">
        <f t="shared" si="296"/>
        <v>0</v>
      </c>
      <c r="Q740" s="1335"/>
      <c r="R740" s="1335"/>
      <c r="S740" s="1335"/>
      <c r="T740" s="1335"/>
      <c r="U740" s="1335"/>
      <c r="V740" s="1335"/>
      <c r="W740" s="1335"/>
      <c r="X740" s="1335"/>
      <c r="Y740" s="1335"/>
      <c r="Z740" s="1335"/>
    </row>
    <row r="741" spans="1:26" ht="18.75" hidden="1">
      <c r="A741" s="1331"/>
      <c r="B741" s="1336"/>
      <c r="C741" s="1332"/>
      <c r="D741" s="1333"/>
      <c r="E741" s="1332" t="s">
        <v>185</v>
      </c>
      <c r="F741" s="1332"/>
      <c r="G741" s="1334"/>
      <c r="H741" s="165" t="s">
        <v>12</v>
      </c>
      <c r="I741" s="898"/>
      <c r="J741" s="898"/>
      <c r="K741" s="899"/>
      <c r="L741" s="899">
        <v>0</v>
      </c>
      <c r="M741" s="899">
        <v>0</v>
      </c>
      <c r="N741" s="899">
        <v>0</v>
      </c>
      <c r="O741" s="899">
        <f t="shared" si="295"/>
        <v>0</v>
      </c>
      <c r="P741" s="899">
        <f t="shared" si="296"/>
        <v>0</v>
      </c>
      <c r="Q741" s="1335"/>
      <c r="R741" s="1335"/>
      <c r="S741" s="1335"/>
      <c r="T741" s="1335"/>
      <c r="U741" s="1335"/>
      <c r="V741" s="1335"/>
      <c r="W741" s="1335"/>
      <c r="X741" s="1335"/>
      <c r="Y741" s="1335"/>
      <c r="Z741" s="1335"/>
    </row>
    <row r="742" spans="1:26" ht="18.75" hidden="1">
      <c r="A742" s="1331"/>
      <c r="B742" s="1336"/>
      <c r="C742" s="1332"/>
      <c r="D742" s="1333"/>
      <c r="E742" s="1332" t="s">
        <v>186</v>
      </c>
      <c r="F742" s="1332"/>
      <c r="G742" s="1334"/>
      <c r="H742" s="165" t="s">
        <v>12</v>
      </c>
      <c r="I742" s="898"/>
      <c r="J742" s="898"/>
      <c r="K742" s="899"/>
      <c r="L742" s="899">
        <v>0</v>
      </c>
      <c r="M742" s="899">
        <v>0</v>
      </c>
      <c r="N742" s="899">
        <f>N743+N744+N745+N746</f>
        <v>0</v>
      </c>
      <c r="O742" s="899">
        <f t="shared" si="295"/>
        <v>0</v>
      </c>
      <c r="P742" s="899">
        <f t="shared" si="296"/>
        <v>0</v>
      </c>
      <c r="Q742" s="1335"/>
      <c r="R742" s="1335"/>
      <c r="S742" s="1335"/>
      <c r="T742" s="1335"/>
      <c r="U742" s="1335"/>
      <c r="V742" s="1335"/>
      <c r="W742" s="1335"/>
      <c r="X742" s="1335"/>
      <c r="Y742" s="1335"/>
      <c r="Z742" s="1335"/>
    </row>
    <row r="743" spans="1:26" ht="18.75" hidden="1">
      <c r="A743" s="1366"/>
      <c r="B743" s="1336"/>
      <c r="C743" s="1332"/>
      <c r="D743" s="1332"/>
      <c r="E743" s="1332"/>
      <c r="F743" s="1332" t="s">
        <v>187</v>
      </c>
      <c r="G743" s="1334"/>
      <c r="H743" s="165" t="s">
        <v>12</v>
      </c>
      <c r="I743" s="898"/>
      <c r="J743" s="898"/>
      <c r="K743" s="899"/>
      <c r="L743" s="899"/>
      <c r="M743" s="899"/>
      <c r="N743" s="899"/>
      <c r="O743" s="899"/>
      <c r="P743" s="899"/>
      <c r="Q743" s="1335"/>
      <c r="R743" s="1335"/>
      <c r="S743" s="1335"/>
      <c r="T743" s="1335"/>
      <c r="U743" s="1335"/>
      <c r="V743" s="1335"/>
      <c r="W743" s="1335"/>
      <c r="X743" s="1335"/>
      <c r="Y743" s="1335"/>
      <c r="Z743" s="1335"/>
    </row>
    <row r="744" spans="1:26" ht="18.75" hidden="1">
      <c r="A744" s="1366"/>
      <c r="B744" s="1336"/>
      <c r="C744" s="1332"/>
      <c r="D744" s="1332"/>
      <c r="E744" s="1332"/>
      <c r="F744" s="1332" t="s">
        <v>188</v>
      </c>
      <c r="G744" s="1334"/>
      <c r="H744" s="165" t="s">
        <v>12</v>
      </c>
      <c r="I744" s="898"/>
      <c r="J744" s="898"/>
      <c r="K744" s="899"/>
      <c r="L744" s="899"/>
      <c r="M744" s="899"/>
      <c r="N744" s="899"/>
      <c r="O744" s="899"/>
      <c r="P744" s="899"/>
      <c r="Q744" s="1335"/>
      <c r="R744" s="1335"/>
      <c r="S744" s="1335"/>
      <c r="T744" s="1335"/>
      <c r="U744" s="1335"/>
      <c r="V744" s="1335"/>
      <c r="W744" s="1335"/>
      <c r="X744" s="1335"/>
      <c r="Y744" s="1335"/>
      <c r="Z744" s="1335"/>
    </row>
    <row r="745" spans="1:26" ht="18.75" hidden="1">
      <c r="A745" s="1366"/>
      <c r="B745" s="1336"/>
      <c r="C745" s="1332"/>
      <c r="D745" s="1332"/>
      <c r="E745" s="1332"/>
      <c r="F745" s="1332" t="s">
        <v>189</v>
      </c>
      <c r="G745" s="1334"/>
      <c r="H745" s="165" t="s">
        <v>12</v>
      </c>
      <c r="I745" s="898"/>
      <c r="J745" s="898"/>
      <c r="K745" s="899"/>
      <c r="L745" s="899"/>
      <c r="M745" s="899"/>
      <c r="N745" s="899"/>
      <c r="O745" s="899"/>
      <c r="P745" s="899"/>
      <c r="Q745" s="1335"/>
      <c r="R745" s="1335"/>
      <c r="S745" s="1335"/>
      <c r="T745" s="1335"/>
      <c r="U745" s="1335"/>
      <c r="V745" s="1335"/>
      <c r="W745" s="1335"/>
      <c r="X745" s="1335"/>
      <c r="Y745" s="1335"/>
      <c r="Z745" s="1335"/>
    </row>
    <row r="746" spans="1:26" ht="18.75" hidden="1">
      <c r="A746" s="1366"/>
      <c r="B746" s="1336"/>
      <c r="C746" s="1332"/>
      <c r="D746" s="1332"/>
      <c r="E746" s="1332"/>
      <c r="F746" s="1332" t="s">
        <v>190</v>
      </c>
      <c r="G746" s="1334"/>
      <c r="H746" s="165" t="s">
        <v>12</v>
      </c>
      <c r="I746" s="898"/>
      <c r="J746" s="898"/>
      <c r="K746" s="899"/>
      <c r="L746" s="899"/>
      <c r="M746" s="899"/>
      <c r="N746" s="899"/>
      <c r="O746" s="899"/>
      <c r="P746" s="899"/>
      <c r="Q746" s="1335"/>
      <c r="R746" s="1335"/>
      <c r="S746" s="1335"/>
      <c r="T746" s="1335"/>
      <c r="U746" s="1335"/>
      <c r="V746" s="1335"/>
      <c r="W746" s="1335"/>
      <c r="X746" s="1335"/>
      <c r="Y746" s="1335"/>
      <c r="Z746" s="1335"/>
    </row>
    <row r="747" spans="1:26" ht="19.5" hidden="1">
      <c r="A747" s="1331"/>
      <c r="B747" s="1336"/>
      <c r="C747" s="1332"/>
      <c r="D747" s="1465" t="s">
        <v>21</v>
      </c>
      <c r="E747" s="1332"/>
      <c r="F747" s="1332"/>
      <c r="G747" s="1334"/>
      <c r="H747" s="780" t="s">
        <v>12</v>
      </c>
      <c r="I747" s="1012"/>
      <c r="J747" s="1012"/>
      <c r="K747" s="1013"/>
      <c r="L747" s="1364">
        <f t="shared" ref="L747:N747" si="299">L748+L749</f>
        <v>0</v>
      </c>
      <c r="M747" s="1364">
        <f t="shared" si="299"/>
        <v>0</v>
      </c>
      <c r="N747" s="1364">
        <f t="shared" si="299"/>
        <v>0</v>
      </c>
      <c r="O747" s="1364">
        <f t="shared" ref="O747:O749" si="300">IF(L747&gt;0,N747*100/L747,0)</f>
        <v>0</v>
      </c>
      <c r="P747" s="1364">
        <f t="shared" ref="P747:P749" si="301">IF(M747&gt;0,N747*100/M747,0)</f>
        <v>0</v>
      </c>
      <c r="Q747" s="1335"/>
      <c r="R747" s="1335"/>
      <c r="S747" s="1335"/>
      <c r="T747" s="1335"/>
      <c r="U747" s="1335"/>
      <c r="V747" s="1335"/>
      <c r="W747" s="1335"/>
      <c r="X747" s="1335"/>
      <c r="Y747" s="1335"/>
      <c r="Z747" s="1335"/>
    </row>
    <row r="748" spans="1:26" ht="18.75" hidden="1">
      <c r="A748" s="1331"/>
      <c r="B748" s="1336"/>
      <c r="C748" s="1332"/>
      <c r="D748" s="1332"/>
      <c r="E748" s="1332" t="s">
        <v>18</v>
      </c>
      <c r="F748" s="1332"/>
      <c r="G748" s="1334"/>
      <c r="H748" s="165" t="s">
        <v>12</v>
      </c>
      <c r="I748" s="1012"/>
      <c r="J748" s="1012"/>
      <c r="K748" s="1013"/>
      <c r="L748" s="899">
        <v>0</v>
      </c>
      <c r="M748" s="899">
        <v>0</v>
      </c>
      <c r="N748" s="899">
        <v>0</v>
      </c>
      <c r="O748" s="899">
        <f t="shared" si="300"/>
        <v>0</v>
      </c>
      <c r="P748" s="899">
        <f t="shared" si="301"/>
        <v>0</v>
      </c>
      <c r="Q748" s="1335"/>
      <c r="R748" s="1335"/>
      <c r="S748" s="1335"/>
      <c r="T748" s="1335"/>
      <c r="U748" s="1335"/>
      <c r="V748" s="1335"/>
      <c r="W748" s="1335"/>
      <c r="X748" s="1335"/>
      <c r="Y748" s="1335"/>
      <c r="Z748" s="1335"/>
    </row>
    <row r="749" spans="1:26" ht="18.75" hidden="1">
      <c r="A749" s="1331"/>
      <c r="B749" s="1336"/>
      <c r="C749" s="1332"/>
      <c r="D749" s="1332"/>
      <c r="E749" s="1332" t="s">
        <v>19</v>
      </c>
      <c r="F749" s="1332"/>
      <c r="G749" s="1334"/>
      <c r="H749" s="169" t="s">
        <v>12</v>
      </c>
      <c r="I749" s="1012"/>
      <c r="J749" s="1012"/>
      <c r="K749" s="1013"/>
      <c r="L749" s="899">
        <v>0</v>
      </c>
      <c r="M749" s="899">
        <v>0</v>
      </c>
      <c r="N749" s="899">
        <v>0</v>
      </c>
      <c r="O749" s="899">
        <f t="shared" si="300"/>
        <v>0</v>
      </c>
      <c r="P749" s="899">
        <f t="shared" si="301"/>
        <v>0</v>
      </c>
      <c r="Q749" s="1335"/>
      <c r="R749" s="1335"/>
      <c r="S749" s="1335"/>
      <c r="T749" s="1335"/>
      <c r="U749" s="1335"/>
      <c r="V749" s="1335"/>
      <c r="W749" s="1335"/>
      <c r="X749" s="1335"/>
      <c r="Y749" s="1335"/>
      <c r="Z749" s="1335"/>
    </row>
    <row r="750" spans="1:26" ht="19.5" hidden="1">
      <c r="A750" s="1344"/>
      <c r="B750" s="1345"/>
      <c r="C750" s="1332" t="s">
        <v>16</v>
      </c>
      <c r="D750" s="1466" t="s">
        <v>38</v>
      </c>
      <c r="E750" s="1368"/>
      <c r="F750" s="1368"/>
      <c r="G750" s="1369"/>
      <c r="H750" s="1124"/>
      <c r="I750" s="1012"/>
      <c r="J750" s="1012"/>
      <c r="K750" s="1013"/>
      <c r="L750" s="1013"/>
      <c r="M750" s="1013"/>
      <c r="N750" s="1013"/>
      <c r="O750" s="1013"/>
      <c r="P750" s="1013"/>
      <c r="Q750" s="1335"/>
      <c r="R750" s="1335"/>
      <c r="S750" s="1335"/>
      <c r="T750" s="1335"/>
      <c r="U750" s="1335"/>
      <c r="V750" s="1335"/>
      <c r="W750" s="1335"/>
      <c r="X750" s="1335"/>
      <c r="Y750" s="1335"/>
      <c r="Z750" s="1335"/>
    </row>
    <row r="751" spans="1:26" ht="18.75" hidden="1">
      <c r="A751" s="1366"/>
      <c r="B751" s="1336"/>
      <c r="C751" s="1332"/>
      <c r="D751" s="1332"/>
      <c r="E751" s="1332" t="s">
        <v>314</v>
      </c>
      <c r="F751" s="1332"/>
      <c r="G751" s="1334"/>
      <c r="H751" s="165" t="s">
        <v>46</v>
      </c>
      <c r="I751" s="898"/>
      <c r="J751" s="898"/>
      <c r="K751" s="899"/>
      <c r="L751" s="899"/>
      <c r="M751" s="899"/>
      <c r="N751" s="899"/>
      <c r="O751" s="899"/>
      <c r="P751" s="899"/>
      <c r="Q751" s="1335"/>
      <c r="R751" s="1335"/>
      <c r="S751" s="1335"/>
      <c r="T751" s="1335"/>
      <c r="U751" s="1335"/>
      <c r="V751" s="1335"/>
      <c r="W751" s="1335"/>
      <c r="X751" s="1335"/>
      <c r="Y751" s="1335"/>
      <c r="Z751" s="1335"/>
    </row>
    <row r="752" spans="1:26" ht="18.75" hidden="1">
      <c r="A752" s="1366"/>
      <c r="B752" s="1336"/>
      <c r="C752" s="1332"/>
      <c r="D752" s="1332"/>
      <c r="E752" s="1332"/>
      <c r="F752" s="1332"/>
      <c r="G752" s="1334"/>
      <c r="H752" s="165" t="s">
        <v>315</v>
      </c>
      <c r="I752" s="898"/>
      <c r="J752" s="898"/>
      <c r="K752" s="899"/>
      <c r="L752" s="899"/>
      <c r="M752" s="899"/>
      <c r="N752" s="899"/>
      <c r="O752" s="899"/>
      <c r="P752" s="899"/>
      <c r="Q752" s="1335"/>
      <c r="R752" s="1335"/>
      <c r="S752" s="1335"/>
      <c r="T752" s="1335"/>
      <c r="U752" s="1335"/>
      <c r="V752" s="1335"/>
      <c r="W752" s="1335"/>
      <c r="X752" s="1335"/>
      <c r="Y752" s="1335"/>
      <c r="Z752" s="1335"/>
    </row>
    <row r="753" spans="1:26" ht="19.5" hidden="1">
      <c r="A753" s="782">
        <v>10</v>
      </c>
      <c r="B753" s="1467" t="s">
        <v>316</v>
      </c>
      <c r="C753" s="1468"/>
      <c r="D753" s="1468"/>
      <c r="E753" s="1468"/>
      <c r="F753" s="1468"/>
      <c r="G753" s="1469"/>
      <c r="H753" s="786" t="s">
        <v>46</v>
      </c>
      <c r="I753" s="1470"/>
      <c r="J753" s="1470">
        <f>J768</f>
        <v>0</v>
      </c>
      <c r="K753" s="1471">
        <f>IF(I753&gt;0,J753*100/I753,0)</f>
        <v>0</v>
      </c>
      <c r="L753" s="1472"/>
      <c r="M753" s="1472"/>
      <c r="N753" s="1472"/>
      <c r="O753" s="1472"/>
      <c r="P753" s="1472"/>
      <c r="Q753" s="1335"/>
      <c r="R753" s="1335"/>
      <c r="S753" s="1335"/>
      <c r="T753" s="1335"/>
      <c r="U753" s="1335"/>
      <c r="V753" s="1335"/>
      <c r="W753" s="1335"/>
      <c r="X753" s="1335"/>
      <c r="Y753" s="1335"/>
      <c r="Z753" s="1335"/>
    </row>
    <row r="754" spans="1:26" ht="19.5" hidden="1">
      <c r="A754" s="1331"/>
      <c r="B754" s="1332"/>
      <c r="C754" s="1332" t="s">
        <v>16</v>
      </c>
      <c r="D754" s="1363" t="s">
        <v>17</v>
      </c>
      <c r="E754" s="853"/>
      <c r="F754" s="853"/>
      <c r="G754" s="1334"/>
      <c r="H754" s="643" t="s">
        <v>12</v>
      </c>
      <c r="I754" s="898"/>
      <c r="J754" s="898"/>
      <c r="K754" s="899"/>
      <c r="L754" s="1364">
        <f t="shared" ref="L754:N754" si="302">L755+L756</f>
        <v>0</v>
      </c>
      <c r="M754" s="1364">
        <f t="shared" si="302"/>
        <v>0</v>
      </c>
      <c r="N754" s="1364">
        <f t="shared" si="302"/>
        <v>0</v>
      </c>
      <c r="O754" s="1364">
        <f t="shared" ref="O754:O759" si="303">IF(L754&gt;0,N754*100/L754,0)</f>
        <v>0</v>
      </c>
      <c r="P754" s="1364">
        <f t="shared" ref="P754:P759" si="304">IF(M754&gt;0,N754*100/M754,0)</f>
        <v>0</v>
      </c>
      <c r="Q754" s="1335"/>
      <c r="R754" s="1335"/>
      <c r="S754" s="1335"/>
      <c r="T754" s="1335"/>
      <c r="U754" s="1335"/>
      <c r="V754" s="1335"/>
      <c r="W754" s="1335"/>
      <c r="X754" s="1335"/>
      <c r="Y754" s="1335"/>
      <c r="Z754" s="1335"/>
    </row>
    <row r="755" spans="1:26" ht="18.75" hidden="1">
      <c r="A755" s="1331"/>
      <c r="B755" s="1332"/>
      <c r="C755" s="1332"/>
      <c r="D755" s="1333"/>
      <c r="E755" s="1332" t="s">
        <v>185</v>
      </c>
      <c r="F755" s="1332"/>
      <c r="G755" s="1334"/>
      <c r="H755" s="165" t="s">
        <v>12</v>
      </c>
      <c r="I755" s="898"/>
      <c r="J755" s="898"/>
      <c r="K755" s="899"/>
      <c r="L755" s="899">
        <f t="shared" ref="L755:N756" si="305">L758+L765</f>
        <v>0</v>
      </c>
      <c r="M755" s="899">
        <f t="shared" si="305"/>
        <v>0</v>
      </c>
      <c r="N755" s="899">
        <f t="shared" si="305"/>
        <v>0</v>
      </c>
      <c r="O755" s="899">
        <f t="shared" si="303"/>
        <v>0</v>
      </c>
      <c r="P755" s="899">
        <f t="shared" si="304"/>
        <v>0</v>
      </c>
      <c r="Q755" s="1335"/>
      <c r="R755" s="1335"/>
      <c r="S755" s="1335"/>
      <c r="T755" s="1335"/>
      <c r="U755" s="1335"/>
      <c r="V755" s="1335"/>
      <c r="W755" s="1335"/>
      <c r="X755" s="1335"/>
      <c r="Y755" s="1335"/>
      <c r="Z755" s="1335"/>
    </row>
    <row r="756" spans="1:26" ht="18.75" hidden="1">
      <c r="A756" s="1331"/>
      <c r="B756" s="1336"/>
      <c r="C756" s="1332"/>
      <c r="D756" s="1333"/>
      <c r="E756" s="1332" t="s">
        <v>186</v>
      </c>
      <c r="F756" s="1332"/>
      <c r="G756" s="1334"/>
      <c r="H756" s="165" t="s">
        <v>12</v>
      </c>
      <c r="I756" s="898"/>
      <c r="J756" s="898"/>
      <c r="K756" s="899"/>
      <c r="L756" s="899">
        <f t="shared" si="305"/>
        <v>0</v>
      </c>
      <c r="M756" s="899">
        <f t="shared" si="305"/>
        <v>0</v>
      </c>
      <c r="N756" s="899">
        <f t="shared" si="305"/>
        <v>0</v>
      </c>
      <c r="O756" s="899">
        <f t="shared" si="303"/>
        <v>0</v>
      </c>
      <c r="P756" s="899">
        <f t="shared" si="304"/>
        <v>0</v>
      </c>
      <c r="Q756" s="1335"/>
      <c r="R756" s="1335"/>
      <c r="S756" s="1335"/>
      <c r="T756" s="1335"/>
      <c r="U756" s="1335"/>
      <c r="V756" s="1335"/>
      <c r="W756" s="1335"/>
      <c r="X756" s="1335"/>
      <c r="Y756" s="1335"/>
      <c r="Z756" s="1335"/>
    </row>
    <row r="757" spans="1:26" ht="19.5" hidden="1">
      <c r="A757" s="1331"/>
      <c r="B757" s="1336"/>
      <c r="C757" s="1332"/>
      <c r="D757" s="1465" t="s">
        <v>20</v>
      </c>
      <c r="E757" s="1332"/>
      <c r="F757" s="1332"/>
      <c r="G757" s="1334"/>
      <c r="H757" s="643" t="s">
        <v>12</v>
      </c>
      <c r="I757" s="1012"/>
      <c r="J757" s="1012"/>
      <c r="K757" s="1013"/>
      <c r="L757" s="1364">
        <f t="shared" ref="L757:N757" si="306">L758+L759</f>
        <v>0</v>
      </c>
      <c r="M757" s="1364">
        <f t="shared" si="306"/>
        <v>0</v>
      </c>
      <c r="N757" s="1364">
        <f t="shared" si="306"/>
        <v>0</v>
      </c>
      <c r="O757" s="1364">
        <f t="shared" si="303"/>
        <v>0</v>
      </c>
      <c r="P757" s="1364">
        <f t="shared" si="304"/>
        <v>0</v>
      </c>
      <c r="Q757" s="1335"/>
      <c r="R757" s="1335"/>
      <c r="S757" s="1335"/>
      <c r="T757" s="1335"/>
      <c r="U757" s="1335"/>
      <c r="V757" s="1335"/>
      <c r="W757" s="1335"/>
      <c r="X757" s="1335"/>
      <c r="Y757" s="1335"/>
      <c r="Z757" s="1335"/>
    </row>
    <row r="758" spans="1:26" ht="18.75" hidden="1">
      <c r="A758" s="1331"/>
      <c r="B758" s="1336"/>
      <c r="C758" s="1332"/>
      <c r="D758" s="1333"/>
      <c r="E758" s="1332" t="s">
        <v>185</v>
      </c>
      <c r="F758" s="1332"/>
      <c r="G758" s="1334"/>
      <c r="H758" s="165" t="s">
        <v>12</v>
      </c>
      <c r="I758" s="898"/>
      <c r="J758" s="898"/>
      <c r="K758" s="899"/>
      <c r="L758" s="899">
        <v>0</v>
      </c>
      <c r="M758" s="899">
        <v>0</v>
      </c>
      <c r="N758" s="899">
        <v>0</v>
      </c>
      <c r="O758" s="899">
        <f t="shared" si="303"/>
        <v>0</v>
      </c>
      <c r="P758" s="899">
        <f t="shared" si="304"/>
        <v>0</v>
      </c>
      <c r="Q758" s="1335"/>
      <c r="R758" s="1335"/>
      <c r="S758" s="1335"/>
      <c r="T758" s="1335"/>
      <c r="U758" s="1335"/>
      <c r="V758" s="1335"/>
      <c r="W758" s="1335"/>
      <c r="X758" s="1335"/>
      <c r="Y758" s="1335"/>
      <c r="Z758" s="1335"/>
    </row>
    <row r="759" spans="1:26" ht="18.75" hidden="1">
      <c r="A759" s="1331"/>
      <c r="B759" s="1336"/>
      <c r="C759" s="1332"/>
      <c r="D759" s="1333"/>
      <c r="E759" s="1332" t="s">
        <v>186</v>
      </c>
      <c r="F759" s="1332"/>
      <c r="G759" s="1334"/>
      <c r="H759" s="165" t="s">
        <v>12</v>
      </c>
      <c r="I759" s="898"/>
      <c r="J759" s="898"/>
      <c r="K759" s="899"/>
      <c r="L759" s="899">
        <v>0</v>
      </c>
      <c r="M759" s="899">
        <v>0</v>
      </c>
      <c r="N759" s="899">
        <f>N760+N761+N762+N763</f>
        <v>0</v>
      </c>
      <c r="O759" s="899">
        <f t="shared" si="303"/>
        <v>0</v>
      </c>
      <c r="P759" s="899">
        <f t="shared" si="304"/>
        <v>0</v>
      </c>
      <c r="Q759" s="1335"/>
      <c r="R759" s="1335"/>
      <c r="S759" s="1335"/>
      <c r="T759" s="1335"/>
      <c r="U759" s="1335"/>
      <c r="V759" s="1335"/>
      <c r="W759" s="1335"/>
      <c r="X759" s="1335"/>
      <c r="Y759" s="1335"/>
      <c r="Z759" s="1335"/>
    </row>
    <row r="760" spans="1:26" ht="18.75" hidden="1">
      <c r="A760" s="1366"/>
      <c r="B760" s="1336"/>
      <c r="C760" s="1332"/>
      <c r="D760" s="1332"/>
      <c r="E760" s="1332"/>
      <c r="F760" s="1332" t="s">
        <v>187</v>
      </c>
      <c r="G760" s="1334"/>
      <c r="H760" s="165" t="s">
        <v>12</v>
      </c>
      <c r="I760" s="898"/>
      <c r="J760" s="898"/>
      <c r="K760" s="899"/>
      <c r="L760" s="899"/>
      <c r="M760" s="899"/>
      <c r="N760" s="899"/>
      <c r="O760" s="899"/>
      <c r="P760" s="899"/>
      <c r="Q760" s="1335"/>
      <c r="R760" s="1335"/>
      <c r="S760" s="1335"/>
      <c r="T760" s="1335"/>
      <c r="U760" s="1335"/>
      <c r="V760" s="1335"/>
      <c r="W760" s="1335"/>
      <c r="X760" s="1335"/>
      <c r="Y760" s="1335"/>
      <c r="Z760" s="1335"/>
    </row>
    <row r="761" spans="1:26" ht="18.75" hidden="1">
      <c r="A761" s="1366"/>
      <c r="B761" s="1336"/>
      <c r="C761" s="1332"/>
      <c r="D761" s="1332"/>
      <c r="E761" s="1332"/>
      <c r="F761" s="1332" t="s">
        <v>188</v>
      </c>
      <c r="G761" s="1334"/>
      <c r="H761" s="165" t="s">
        <v>12</v>
      </c>
      <c r="I761" s="898"/>
      <c r="J761" s="898"/>
      <c r="K761" s="899"/>
      <c r="L761" s="899"/>
      <c r="M761" s="899"/>
      <c r="N761" s="899"/>
      <c r="O761" s="899"/>
      <c r="P761" s="899"/>
      <c r="Q761" s="1335"/>
      <c r="R761" s="1335"/>
      <c r="S761" s="1335"/>
      <c r="T761" s="1335"/>
      <c r="U761" s="1335"/>
      <c r="V761" s="1335"/>
      <c r="W761" s="1335"/>
      <c r="X761" s="1335"/>
      <c r="Y761" s="1335"/>
      <c r="Z761" s="1335"/>
    </row>
    <row r="762" spans="1:26" ht="18.75" hidden="1">
      <c r="A762" s="1366"/>
      <c r="B762" s="1336"/>
      <c r="C762" s="1332"/>
      <c r="D762" s="1332"/>
      <c r="E762" s="1332"/>
      <c r="F762" s="1332" t="s">
        <v>189</v>
      </c>
      <c r="G762" s="1334"/>
      <c r="H762" s="165" t="s">
        <v>12</v>
      </c>
      <c r="I762" s="898"/>
      <c r="J762" s="898"/>
      <c r="K762" s="899"/>
      <c r="L762" s="899"/>
      <c r="M762" s="899"/>
      <c r="N762" s="899"/>
      <c r="O762" s="899"/>
      <c r="P762" s="899"/>
      <c r="Q762" s="1335"/>
      <c r="R762" s="1335"/>
      <c r="S762" s="1335"/>
      <c r="T762" s="1335"/>
      <c r="U762" s="1335"/>
      <c r="V762" s="1335"/>
      <c r="W762" s="1335"/>
      <c r="X762" s="1335"/>
      <c r="Y762" s="1335"/>
      <c r="Z762" s="1335"/>
    </row>
    <row r="763" spans="1:26" ht="18.75" hidden="1">
      <c r="A763" s="1366"/>
      <c r="B763" s="1336"/>
      <c r="C763" s="1332"/>
      <c r="D763" s="1332"/>
      <c r="E763" s="1332"/>
      <c r="F763" s="1332" t="s">
        <v>190</v>
      </c>
      <c r="G763" s="1334"/>
      <c r="H763" s="165" t="s">
        <v>12</v>
      </c>
      <c r="I763" s="898"/>
      <c r="J763" s="898"/>
      <c r="K763" s="899"/>
      <c r="L763" s="899"/>
      <c r="M763" s="899"/>
      <c r="N763" s="899"/>
      <c r="O763" s="899"/>
      <c r="P763" s="899"/>
      <c r="Q763" s="1335"/>
      <c r="R763" s="1335"/>
      <c r="S763" s="1335"/>
      <c r="T763" s="1335"/>
      <c r="U763" s="1335"/>
      <c r="V763" s="1335"/>
      <c r="W763" s="1335"/>
      <c r="X763" s="1335"/>
      <c r="Y763" s="1335"/>
      <c r="Z763" s="1335"/>
    </row>
    <row r="764" spans="1:26" ht="19.5" hidden="1">
      <c r="A764" s="1331"/>
      <c r="B764" s="1336"/>
      <c r="C764" s="1332"/>
      <c r="D764" s="1465" t="s">
        <v>21</v>
      </c>
      <c r="E764" s="1332"/>
      <c r="F764" s="1332"/>
      <c r="G764" s="1334"/>
      <c r="H764" s="780" t="s">
        <v>12</v>
      </c>
      <c r="I764" s="1012"/>
      <c r="J764" s="1012"/>
      <c r="K764" s="1013"/>
      <c r="L764" s="1364">
        <f t="shared" ref="L764:N764" si="307">L765+L766</f>
        <v>0</v>
      </c>
      <c r="M764" s="1364">
        <f t="shared" si="307"/>
        <v>0</v>
      </c>
      <c r="N764" s="1364">
        <f t="shared" si="307"/>
        <v>0</v>
      </c>
      <c r="O764" s="1364">
        <f t="shared" ref="O764:O766" si="308">IF(L764&gt;0,N764*100/L764,0)</f>
        <v>0</v>
      </c>
      <c r="P764" s="1364">
        <f t="shared" ref="P764:P766" si="309">IF(M764&gt;0,N764*100/M764,0)</f>
        <v>0</v>
      </c>
      <c r="Q764" s="1335"/>
      <c r="R764" s="1335"/>
      <c r="S764" s="1335"/>
      <c r="T764" s="1335"/>
      <c r="U764" s="1335"/>
      <c r="V764" s="1335"/>
      <c r="W764" s="1335"/>
      <c r="X764" s="1335"/>
      <c r="Y764" s="1335"/>
      <c r="Z764" s="1335"/>
    </row>
    <row r="765" spans="1:26" ht="18.75" hidden="1">
      <c r="A765" s="1331"/>
      <c r="B765" s="1336"/>
      <c r="C765" s="1332"/>
      <c r="D765" s="1332"/>
      <c r="E765" s="1332" t="s">
        <v>18</v>
      </c>
      <c r="F765" s="1332"/>
      <c r="G765" s="1334"/>
      <c r="H765" s="165" t="s">
        <v>12</v>
      </c>
      <c r="I765" s="1012"/>
      <c r="J765" s="1012"/>
      <c r="K765" s="1013"/>
      <c r="L765" s="899">
        <v>0</v>
      </c>
      <c r="M765" s="899">
        <v>0</v>
      </c>
      <c r="N765" s="899">
        <v>0</v>
      </c>
      <c r="O765" s="899">
        <f t="shared" si="308"/>
        <v>0</v>
      </c>
      <c r="P765" s="899">
        <f t="shared" si="309"/>
        <v>0</v>
      </c>
      <c r="Q765" s="1335"/>
      <c r="R765" s="1335"/>
      <c r="S765" s="1335"/>
      <c r="T765" s="1335"/>
      <c r="U765" s="1335"/>
      <c r="V765" s="1335"/>
      <c r="W765" s="1335"/>
      <c r="X765" s="1335"/>
      <c r="Y765" s="1335"/>
      <c r="Z765" s="1335"/>
    </row>
    <row r="766" spans="1:26" ht="18.75" hidden="1">
      <c r="A766" s="1331"/>
      <c r="B766" s="1336"/>
      <c r="C766" s="1332"/>
      <c r="D766" s="1332"/>
      <c r="E766" s="1332" t="s">
        <v>19</v>
      </c>
      <c r="F766" s="1332"/>
      <c r="G766" s="1334"/>
      <c r="H766" s="169" t="s">
        <v>12</v>
      </c>
      <c r="I766" s="1012"/>
      <c r="J766" s="1012"/>
      <c r="K766" s="1013"/>
      <c r="L766" s="899">
        <v>0</v>
      </c>
      <c r="M766" s="899">
        <v>0</v>
      </c>
      <c r="N766" s="899">
        <v>0</v>
      </c>
      <c r="O766" s="899">
        <f t="shared" si="308"/>
        <v>0</v>
      </c>
      <c r="P766" s="899">
        <f t="shared" si="309"/>
        <v>0</v>
      </c>
      <c r="Q766" s="1335"/>
      <c r="R766" s="1335"/>
      <c r="S766" s="1335"/>
      <c r="T766" s="1335"/>
      <c r="U766" s="1335"/>
      <c r="V766" s="1335"/>
      <c r="W766" s="1335"/>
      <c r="X766" s="1335"/>
      <c r="Y766" s="1335"/>
      <c r="Z766" s="1335"/>
    </row>
    <row r="767" spans="1:26" ht="19.5" hidden="1">
      <c r="A767" s="1344"/>
      <c r="B767" s="1345"/>
      <c r="C767" s="1332" t="s">
        <v>16</v>
      </c>
      <c r="D767" s="1466" t="s">
        <v>38</v>
      </c>
      <c r="E767" s="1368"/>
      <c r="F767" s="1368"/>
      <c r="G767" s="1369"/>
      <c r="H767" s="1124"/>
      <c r="I767" s="1012"/>
      <c r="J767" s="1012"/>
      <c r="K767" s="1013"/>
      <c r="L767" s="1013"/>
      <c r="M767" s="1013"/>
      <c r="N767" s="1013"/>
      <c r="O767" s="1013"/>
      <c r="P767" s="1013"/>
      <c r="Q767" s="1335"/>
      <c r="R767" s="1335"/>
      <c r="S767" s="1335"/>
      <c r="T767" s="1335"/>
      <c r="U767" s="1335"/>
      <c r="V767" s="1335"/>
      <c r="W767" s="1335"/>
      <c r="X767" s="1335"/>
      <c r="Y767" s="1335"/>
      <c r="Z767" s="1335"/>
    </row>
    <row r="768" spans="1:26" ht="18.75" hidden="1">
      <c r="A768" s="1366"/>
      <c r="B768" s="1336"/>
      <c r="C768" s="1332"/>
      <c r="D768" s="1332"/>
      <c r="E768" s="1332" t="s">
        <v>317</v>
      </c>
      <c r="F768" s="1332"/>
      <c r="G768" s="1334"/>
      <c r="H768" s="165" t="s">
        <v>46</v>
      </c>
      <c r="I768" s="898"/>
      <c r="J768" s="898"/>
      <c r="K768" s="899"/>
      <c r="L768" s="899"/>
      <c r="M768" s="899"/>
      <c r="N768" s="899"/>
      <c r="O768" s="899"/>
      <c r="P768" s="899"/>
      <c r="Q768" s="1335"/>
      <c r="R768" s="1335"/>
      <c r="S768" s="1335"/>
      <c r="T768" s="1335"/>
      <c r="U768" s="1335"/>
      <c r="V768" s="1335"/>
      <c r="W768" s="1335"/>
      <c r="X768" s="1335"/>
      <c r="Y768" s="1335"/>
      <c r="Z768" s="1335"/>
    </row>
    <row r="769" spans="1:26" ht="19.5" hidden="1">
      <c r="A769" s="790">
        <v>11</v>
      </c>
      <c r="B769" s="1473" t="s">
        <v>318</v>
      </c>
      <c r="C769" s="1474"/>
      <c r="D769" s="1474"/>
      <c r="E769" s="1474"/>
      <c r="F769" s="1474"/>
      <c r="G769" s="1475"/>
      <c r="H769" s="794" t="s">
        <v>46</v>
      </c>
      <c r="I769" s="1476"/>
      <c r="J769" s="1476">
        <f>J784</f>
        <v>0</v>
      </c>
      <c r="K769" s="1477">
        <f>IF(I769&gt;0,J769*100/I769,0)</f>
        <v>0</v>
      </c>
      <c r="L769" s="1478"/>
      <c r="M769" s="1478"/>
      <c r="N769" s="1478"/>
      <c r="O769" s="1478"/>
      <c r="P769" s="1478"/>
      <c r="Q769" s="1335"/>
      <c r="R769" s="1335"/>
      <c r="S769" s="1335"/>
      <c r="T769" s="1335"/>
      <c r="U769" s="1335"/>
      <c r="V769" s="1335"/>
      <c r="W769" s="1335"/>
      <c r="X769" s="1335"/>
      <c r="Y769" s="1335"/>
      <c r="Z769" s="1335"/>
    </row>
    <row r="770" spans="1:26" ht="19.5" hidden="1">
      <c r="A770" s="1331"/>
      <c r="B770" s="1332"/>
      <c r="C770" s="1332" t="s">
        <v>16</v>
      </c>
      <c r="D770" s="1363" t="s">
        <v>17</v>
      </c>
      <c r="E770" s="853"/>
      <c r="F770" s="853"/>
      <c r="G770" s="1334"/>
      <c r="H770" s="643" t="s">
        <v>12</v>
      </c>
      <c r="I770" s="898"/>
      <c r="J770" s="898"/>
      <c r="K770" s="899"/>
      <c r="L770" s="1364">
        <f t="shared" ref="L770:N770" si="310">L771+L772</f>
        <v>0</v>
      </c>
      <c r="M770" s="1364">
        <f t="shared" si="310"/>
        <v>0</v>
      </c>
      <c r="N770" s="1364">
        <f t="shared" si="310"/>
        <v>0</v>
      </c>
      <c r="O770" s="1364">
        <f t="shared" ref="O770:O775" si="311">IF(L770&gt;0,N770*100/L770,0)</f>
        <v>0</v>
      </c>
      <c r="P770" s="1364">
        <f t="shared" ref="P770:P775" si="312">IF(M770&gt;0,N770*100/M770,0)</f>
        <v>0</v>
      </c>
      <c r="Q770" s="1335"/>
      <c r="R770" s="1335"/>
      <c r="S770" s="1335"/>
      <c r="T770" s="1335"/>
      <c r="U770" s="1335"/>
      <c r="V770" s="1335"/>
      <c r="W770" s="1335"/>
      <c r="X770" s="1335"/>
      <c r="Y770" s="1335"/>
      <c r="Z770" s="1335"/>
    </row>
    <row r="771" spans="1:26" ht="18.75" hidden="1">
      <c r="A771" s="1331"/>
      <c r="B771" s="1332"/>
      <c r="C771" s="1332"/>
      <c r="D771" s="1333"/>
      <c r="E771" s="1332" t="s">
        <v>185</v>
      </c>
      <c r="F771" s="1332"/>
      <c r="G771" s="1334"/>
      <c r="H771" s="165" t="s">
        <v>12</v>
      </c>
      <c r="I771" s="898"/>
      <c r="J771" s="898"/>
      <c r="K771" s="899"/>
      <c r="L771" s="899">
        <f t="shared" ref="L771:N772" si="313">L774+L781</f>
        <v>0</v>
      </c>
      <c r="M771" s="899">
        <f t="shared" si="313"/>
        <v>0</v>
      </c>
      <c r="N771" s="899">
        <f t="shared" si="313"/>
        <v>0</v>
      </c>
      <c r="O771" s="899">
        <f t="shared" si="311"/>
        <v>0</v>
      </c>
      <c r="P771" s="899">
        <f t="shared" si="312"/>
        <v>0</v>
      </c>
      <c r="Q771" s="1335"/>
      <c r="R771" s="1335"/>
      <c r="S771" s="1335"/>
      <c r="T771" s="1335"/>
      <c r="U771" s="1335"/>
      <c r="V771" s="1335"/>
      <c r="W771" s="1335"/>
      <c r="X771" s="1335"/>
      <c r="Y771" s="1335"/>
      <c r="Z771" s="1335"/>
    </row>
    <row r="772" spans="1:26" ht="18.75" hidden="1">
      <c r="A772" s="1331"/>
      <c r="B772" s="1336"/>
      <c r="C772" s="1332"/>
      <c r="D772" s="1333"/>
      <c r="E772" s="1332" t="s">
        <v>186</v>
      </c>
      <c r="F772" s="1332"/>
      <c r="G772" s="1334"/>
      <c r="H772" s="165" t="s">
        <v>12</v>
      </c>
      <c r="I772" s="898"/>
      <c r="J772" s="898"/>
      <c r="K772" s="899"/>
      <c r="L772" s="899">
        <f t="shared" si="313"/>
        <v>0</v>
      </c>
      <c r="M772" s="899">
        <f t="shared" si="313"/>
        <v>0</v>
      </c>
      <c r="N772" s="899">
        <f t="shared" si="313"/>
        <v>0</v>
      </c>
      <c r="O772" s="899">
        <f t="shared" si="311"/>
        <v>0</v>
      </c>
      <c r="P772" s="899">
        <f t="shared" si="312"/>
        <v>0</v>
      </c>
      <c r="Q772" s="1335"/>
      <c r="R772" s="1335"/>
      <c r="S772" s="1335"/>
      <c r="T772" s="1335"/>
      <c r="U772" s="1335"/>
      <c r="V772" s="1335"/>
      <c r="W772" s="1335"/>
      <c r="X772" s="1335"/>
      <c r="Y772" s="1335"/>
      <c r="Z772" s="1335"/>
    </row>
    <row r="773" spans="1:26" ht="19.5" hidden="1">
      <c r="A773" s="1331"/>
      <c r="B773" s="1336"/>
      <c r="C773" s="1332"/>
      <c r="D773" s="1465" t="s">
        <v>20</v>
      </c>
      <c r="E773" s="1332"/>
      <c r="F773" s="1332"/>
      <c r="G773" s="1334"/>
      <c r="H773" s="643" t="s">
        <v>12</v>
      </c>
      <c r="I773" s="1012"/>
      <c r="J773" s="1012"/>
      <c r="K773" s="1013"/>
      <c r="L773" s="1364">
        <f t="shared" ref="L773:N773" si="314">L774+L775</f>
        <v>0</v>
      </c>
      <c r="M773" s="1364">
        <f t="shared" si="314"/>
        <v>0</v>
      </c>
      <c r="N773" s="1364">
        <f t="shared" si="314"/>
        <v>0</v>
      </c>
      <c r="O773" s="1364">
        <f t="shared" si="311"/>
        <v>0</v>
      </c>
      <c r="P773" s="1364">
        <f t="shared" si="312"/>
        <v>0</v>
      </c>
      <c r="Q773" s="1335"/>
      <c r="R773" s="1335"/>
      <c r="S773" s="1335"/>
      <c r="T773" s="1335"/>
      <c r="U773" s="1335"/>
      <c r="V773" s="1335"/>
      <c r="W773" s="1335"/>
      <c r="X773" s="1335"/>
      <c r="Y773" s="1335"/>
      <c r="Z773" s="1335"/>
    </row>
    <row r="774" spans="1:26" ht="18.75" hidden="1">
      <c r="A774" s="1331"/>
      <c r="B774" s="1336"/>
      <c r="C774" s="1332"/>
      <c r="D774" s="1333"/>
      <c r="E774" s="1332" t="s">
        <v>185</v>
      </c>
      <c r="F774" s="1332"/>
      <c r="G774" s="1334"/>
      <c r="H774" s="165" t="s">
        <v>12</v>
      </c>
      <c r="I774" s="898"/>
      <c r="J774" s="898"/>
      <c r="K774" s="899"/>
      <c r="L774" s="899">
        <v>0</v>
      </c>
      <c r="M774" s="899">
        <v>0</v>
      </c>
      <c r="N774" s="899">
        <v>0</v>
      </c>
      <c r="O774" s="899">
        <f t="shared" si="311"/>
        <v>0</v>
      </c>
      <c r="P774" s="899">
        <f t="shared" si="312"/>
        <v>0</v>
      </c>
      <c r="Q774" s="1335"/>
      <c r="R774" s="1335"/>
      <c r="S774" s="1335"/>
      <c r="T774" s="1335"/>
      <c r="U774" s="1335"/>
      <c r="V774" s="1335"/>
      <c r="W774" s="1335"/>
      <c r="X774" s="1335"/>
      <c r="Y774" s="1335"/>
      <c r="Z774" s="1335"/>
    </row>
    <row r="775" spans="1:26" ht="18.75" hidden="1">
      <c r="A775" s="1331"/>
      <c r="B775" s="1336"/>
      <c r="C775" s="1332"/>
      <c r="D775" s="1333"/>
      <c r="E775" s="1332" t="s">
        <v>186</v>
      </c>
      <c r="F775" s="1332"/>
      <c r="G775" s="1334"/>
      <c r="H775" s="165" t="s">
        <v>12</v>
      </c>
      <c r="I775" s="898"/>
      <c r="J775" s="898"/>
      <c r="K775" s="899"/>
      <c r="L775" s="899">
        <v>0</v>
      </c>
      <c r="M775" s="899">
        <v>0</v>
      </c>
      <c r="N775" s="899">
        <f>N776+N777+N778+N779</f>
        <v>0</v>
      </c>
      <c r="O775" s="899">
        <f t="shared" si="311"/>
        <v>0</v>
      </c>
      <c r="P775" s="899">
        <f t="shared" si="312"/>
        <v>0</v>
      </c>
      <c r="Q775" s="1335"/>
      <c r="R775" s="1335"/>
      <c r="S775" s="1335"/>
      <c r="T775" s="1335"/>
      <c r="U775" s="1335"/>
      <c r="V775" s="1335"/>
      <c r="W775" s="1335"/>
      <c r="X775" s="1335"/>
      <c r="Y775" s="1335"/>
      <c r="Z775" s="1335"/>
    </row>
    <row r="776" spans="1:26" ht="18.75" hidden="1">
      <c r="A776" s="1366"/>
      <c r="B776" s="1336"/>
      <c r="C776" s="1332"/>
      <c r="D776" s="1332"/>
      <c r="E776" s="1332"/>
      <c r="F776" s="1332" t="s">
        <v>187</v>
      </c>
      <c r="G776" s="1334"/>
      <c r="H776" s="165" t="s">
        <v>12</v>
      </c>
      <c r="I776" s="898"/>
      <c r="J776" s="898"/>
      <c r="K776" s="899"/>
      <c r="L776" s="899"/>
      <c r="M776" s="899"/>
      <c r="N776" s="899"/>
      <c r="O776" s="899"/>
      <c r="P776" s="899"/>
      <c r="Q776" s="1335"/>
      <c r="R776" s="1335"/>
      <c r="S776" s="1335"/>
      <c r="T776" s="1335"/>
      <c r="U776" s="1335"/>
      <c r="V776" s="1335"/>
      <c r="W776" s="1335"/>
      <c r="X776" s="1335"/>
      <c r="Y776" s="1335"/>
      <c r="Z776" s="1335"/>
    </row>
    <row r="777" spans="1:26" ht="18.75" hidden="1">
      <c r="A777" s="1366"/>
      <c r="B777" s="1336"/>
      <c r="C777" s="1332"/>
      <c r="D777" s="1332"/>
      <c r="E777" s="1332"/>
      <c r="F777" s="1332" t="s">
        <v>188</v>
      </c>
      <c r="G777" s="1334"/>
      <c r="H777" s="165" t="s">
        <v>12</v>
      </c>
      <c r="I777" s="898"/>
      <c r="J777" s="898"/>
      <c r="K777" s="899"/>
      <c r="L777" s="899"/>
      <c r="M777" s="899"/>
      <c r="N777" s="899"/>
      <c r="O777" s="899"/>
      <c r="P777" s="899"/>
      <c r="Q777" s="1335"/>
      <c r="R777" s="1335"/>
      <c r="S777" s="1335"/>
      <c r="T777" s="1335"/>
      <c r="U777" s="1335"/>
      <c r="V777" s="1335"/>
      <c r="W777" s="1335"/>
      <c r="X777" s="1335"/>
      <c r="Y777" s="1335"/>
      <c r="Z777" s="1335"/>
    </row>
    <row r="778" spans="1:26" ht="18.75" hidden="1">
      <c r="A778" s="1366"/>
      <c r="B778" s="1336"/>
      <c r="C778" s="1332"/>
      <c r="D778" s="1332"/>
      <c r="E778" s="1332"/>
      <c r="F778" s="1332" t="s">
        <v>189</v>
      </c>
      <c r="G778" s="1334"/>
      <c r="H778" s="165" t="s">
        <v>12</v>
      </c>
      <c r="I778" s="898"/>
      <c r="J778" s="898"/>
      <c r="K778" s="899"/>
      <c r="L778" s="899"/>
      <c r="M778" s="899"/>
      <c r="N778" s="899"/>
      <c r="O778" s="899"/>
      <c r="P778" s="899"/>
      <c r="Q778" s="1335"/>
      <c r="R778" s="1335"/>
      <c r="S778" s="1335"/>
      <c r="T778" s="1335"/>
      <c r="U778" s="1335"/>
      <c r="V778" s="1335"/>
      <c r="W778" s="1335"/>
      <c r="X778" s="1335"/>
      <c r="Y778" s="1335"/>
      <c r="Z778" s="1335"/>
    </row>
    <row r="779" spans="1:26" ht="18.75" hidden="1">
      <c r="A779" s="1366"/>
      <c r="B779" s="1336"/>
      <c r="C779" s="1332"/>
      <c r="D779" s="1332"/>
      <c r="E779" s="1332"/>
      <c r="F779" s="1332" t="s">
        <v>190</v>
      </c>
      <c r="G779" s="1334"/>
      <c r="H779" s="165" t="s">
        <v>12</v>
      </c>
      <c r="I779" s="898"/>
      <c r="J779" s="898"/>
      <c r="K779" s="899"/>
      <c r="L779" s="899"/>
      <c r="M779" s="899"/>
      <c r="N779" s="899"/>
      <c r="O779" s="899"/>
      <c r="P779" s="899"/>
      <c r="Q779" s="1335"/>
      <c r="R779" s="1335"/>
      <c r="S779" s="1335"/>
      <c r="T779" s="1335"/>
      <c r="U779" s="1335"/>
      <c r="V779" s="1335"/>
      <c r="W779" s="1335"/>
      <c r="X779" s="1335"/>
      <c r="Y779" s="1335"/>
      <c r="Z779" s="1335"/>
    </row>
    <row r="780" spans="1:26" ht="19.5" hidden="1">
      <c r="A780" s="1331"/>
      <c r="B780" s="1336"/>
      <c r="C780" s="1332"/>
      <c r="D780" s="1465" t="s">
        <v>21</v>
      </c>
      <c r="E780" s="1332"/>
      <c r="F780" s="1332"/>
      <c r="G780" s="1334"/>
      <c r="H780" s="780" t="s">
        <v>12</v>
      </c>
      <c r="I780" s="1012"/>
      <c r="J780" s="1012"/>
      <c r="K780" s="1013"/>
      <c r="L780" s="1364">
        <f t="shared" ref="L780:N780" si="315">L781+L782</f>
        <v>0</v>
      </c>
      <c r="M780" s="1364">
        <f t="shared" si="315"/>
        <v>0</v>
      </c>
      <c r="N780" s="1364">
        <f t="shared" si="315"/>
        <v>0</v>
      </c>
      <c r="O780" s="1364">
        <f t="shared" ref="O780:O782" si="316">IF(L780&gt;0,N780*100/L780,0)</f>
        <v>0</v>
      </c>
      <c r="P780" s="1364">
        <f t="shared" ref="P780:P782" si="317">IF(M780&gt;0,N780*100/M780,0)</f>
        <v>0</v>
      </c>
      <c r="Q780" s="1335"/>
      <c r="R780" s="1335"/>
      <c r="S780" s="1335"/>
      <c r="T780" s="1335"/>
      <c r="U780" s="1335"/>
      <c r="V780" s="1335"/>
      <c r="W780" s="1335"/>
      <c r="X780" s="1335"/>
      <c r="Y780" s="1335"/>
      <c r="Z780" s="1335"/>
    </row>
    <row r="781" spans="1:26" ht="18.75" hidden="1">
      <c r="A781" s="1331"/>
      <c r="B781" s="1336"/>
      <c r="C781" s="1332"/>
      <c r="D781" s="1332"/>
      <c r="E781" s="1332" t="s">
        <v>18</v>
      </c>
      <c r="F781" s="1332"/>
      <c r="G781" s="1334"/>
      <c r="H781" s="165" t="s">
        <v>12</v>
      </c>
      <c r="I781" s="1012"/>
      <c r="J781" s="1012"/>
      <c r="K781" s="1013"/>
      <c r="L781" s="899">
        <v>0</v>
      </c>
      <c r="M781" s="899">
        <v>0</v>
      </c>
      <c r="N781" s="899">
        <v>0</v>
      </c>
      <c r="O781" s="899">
        <f t="shared" si="316"/>
        <v>0</v>
      </c>
      <c r="P781" s="899">
        <f t="shared" si="317"/>
        <v>0</v>
      </c>
      <c r="Q781" s="1335"/>
      <c r="R781" s="1335"/>
      <c r="S781" s="1335"/>
      <c r="T781" s="1335"/>
      <c r="U781" s="1335"/>
      <c r="V781" s="1335"/>
      <c r="W781" s="1335"/>
      <c r="X781" s="1335"/>
      <c r="Y781" s="1335"/>
      <c r="Z781" s="1335"/>
    </row>
    <row r="782" spans="1:26" ht="18.75" hidden="1">
      <c r="A782" s="1331"/>
      <c r="B782" s="1336"/>
      <c r="C782" s="1332"/>
      <c r="D782" s="1332"/>
      <c r="E782" s="1332" t="s">
        <v>19</v>
      </c>
      <c r="F782" s="1332"/>
      <c r="G782" s="1334"/>
      <c r="H782" s="169" t="s">
        <v>12</v>
      </c>
      <c r="I782" s="1012"/>
      <c r="J782" s="1012"/>
      <c r="K782" s="1013"/>
      <c r="L782" s="899">
        <v>0</v>
      </c>
      <c r="M782" s="899">
        <v>0</v>
      </c>
      <c r="N782" s="899">
        <v>0</v>
      </c>
      <c r="O782" s="899">
        <f t="shared" si="316"/>
        <v>0</v>
      </c>
      <c r="P782" s="899">
        <f t="shared" si="317"/>
        <v>0</v>
      </c>
      <c r="Q782" s="1335"/>
      <c r="R782" s="1335"/>
      <c r="S782" s="1335"/>
      <c r="T782" s="1335"/>
      <c r="U782" s="1335"/>
      <c r="V782" s="1335"/>
      <c r="W782" s="1335"/>
      <c r="X782" s="1335"/>
      <c r="Y782" s="1335"/>
      <c r="Z782" s="1335"/>
    </row>
    <row r="783" spans="1:26" ht="19.5" hidden="1">
      <c r="A783" s="1344"/>
      <c r="B783" s="1345"/>
      <c r="C783" s="1332" t="s">
        <v>16</v>
      </c>
      <c r="D783" s="1466" t="s">
        <v>38</v>
      </c>
      <c r="E783" s="1368"/>
      <c r="F783" s="1368"/>
      <c r="G783" s="1369"/>
      <c r="H783" s="1479"/>
      <c r="I783" s="1012"/>
      <c r="J783" s="1012"/>
      <c r="K783" s="1013"/>
      <c r="L783" s="1013"/>
      <c r="M783" s="1013"/>
      <c r="N783" s="1013"/>
      <c r="O783" s="1013"/>
      <c r="P783" s="1013"/>
      <c r="Q783" s="1335"/>
      <c r="R783" s="1335"/>
      <c r="S783" s="1335"/>
      <c r="T783" s="1335"/>
      <c r="U783" s="1335"/>
      <c r="V783" s="1335"/>
      <c r="W783" s="1335"/>
      <c r="X783" s="1335"/>
      <c r="Y783" s="1335"/>
      <c r="Z783" s="1335"/>
    </row>
    <row r="784" spans="1:26" ht="18.75" hidden="1">
      <c r="A784" s="1366"/>
      <c r="B784" s="1336"/>
      <c r="C784" s="1332"/>
      <c r="D784" s="1332"/>
      <c r="E784" s="1332" t="s">
        <v>319</v>
      </c>
      <c r="F784" s="1332"/>
      <c r="G784" s="1334"/>
      <c r="H784" s="165" t="s">
        <v>46</v>
      </c>
      <c r="I784" s="898"/>
      <c r="J784" s="898"/>
      <c r="K784" s="899"/>
      <c r="L784" s="899"/>
      <c r="M784" s="899"/>
      <c r="N784" s="899"/>
      <c r="O784" s="899"/>
      <c r="P784" s="899"/>
      <c r="Q784" s="1335"/>
      <c r="R784" s="1335"/>
      <c r="S784" s="1335"/>
      <c r="T784" s="1335"/>
      <c r="U784" s="1335"/>
      <c r="V784" s="1335"/>
      <c r="W784" s="1335"/>
      <c r="X784" s="1335"/>
      <c r="Y784" s="1335"/>
      <c r="Z784" s="1335"/>
    </row>
    <row r="785" spans="1:26" ht="19.5">
      <c r="A785" s="799">
        <v>12</v>
      </c>
      <c r="B785" s="1480" t="s">
        <v>320</v>
      </c>
      <c r="C785" s="1481"/>
      <c r="D785" s="1481"/>
      <c r="E785" s="1481"/>
      <c r="F785" s="1481"/>
      <c r="G785" s="1482"/>
      <c r="H785" s="803" t="s">
        <v>46</v>
      </c>
      <c r="I785" s="804">
        <f t="shared" ref="I785:J785" ca="1" si="318">I801+I803</f>
        <v>5000</v>
      </c>
      <c r="J785" s="804">
        <f t="shared" ca="1" si="318"/>
        <v>2204</v>
      </c>
      <c r="K785" s="805">
        <f ca="1">IF(I785&gt;0,J785*100/I785,0)</f>
        <v>44.08</v>
      </c>
      <c r="L785" s="1487"/>
      <c r="M785" s="1487"/>
      <c r="N785" s="1487"/>
      <c r="O785" s="1487"/>
      <c r="P785" s="1487"/>
      <c r="Q785" s="1314"/>
      <c r="R785" s="1314"/>
      <c r="S785" s="1314"/>
      <c r="T785" s="1314"/>
      <c r="U785" s="1314"/>
      <c r="V785" s="1314"/>
      <c r="W785" s="1314"/>
      <c r="X785" s="1314"/>
      <c r="Y785" s="1314"/>
      <c r="Z785" s="1314"/>
    </row>
    <row r="786" spans="1:26" ht="19.5">
      <c r="A786" s="1329"/>
      <c r="B786" s="1312"/>
      <c r="C786" s="1313" t="s">
        <v>16</v>
      </c>
      <c r="D786" s="1330" t="s">
        <v>17</v>
      </c>
      <c r="E786" s="853"/>
      <c r="F786" s="853"/>
      <c r="G786" s="1028"/>
      <c r="H786" s="807" t="s">
        <v>12</v>
      </c>
      <c r="I786" s="1510"/>
      <c r="J786" s="1510"/>
      <c r="K786" s="1511"/>
      <c r="L786" s="1032">
        <f t="shared" ref="L786:N786" ca="1" si="319">L787+L788</f>
        <v>335200</v>
      </c>
      <c r="M786" s="1032">
        <f t="shared" ca="1" si="319"/>
        <v>335200</v>
      </c>
      <c r="N786" s="1032">
        <f t="shared" si="319"/>
        <v>216983.31</v>
      </c>
      <c r="O786" s="1032">
        <f t="shared" ref="O786:O791" ca="1" si="320">IF(L786&gt;0,N786*100/L786,0)</f>
        <v>64.732491050119336</v>
      </c>
      <c r="P786" s="1032">
        <f t="shared" ref="P786:P791" ca="1" si="321">IF(M786&gt;0,N786*100/M786,0)</f>
        <v>64.732491050119336</v>
      </c>
      <c r="Q786" s="1314"/>
      <c r="R786" s="1314"/>
      <c r="S786" s="1314"/>
      <c r="T786" s="1314"/>
      <c r="U786" s="1314"/>
      <c r="V786" s="1314"/>
      <c r="W786" s="1314"/>
      <c r="X786" s="1314"/>
      <c r="Y786" s="1314"/>
      <c r="Z786" s="1314"/>
    </row>
    <row r="787" spans="1:26" ht="18.75" hidden="1">
      <c r="A787" s="1331"/>
      <c r="B787" s="1336"/>
      <c r="C787" s="1332"/>
      <c r="D787" s="1333"/>
      <c r="E787" s="1332" t="s">
        <v>185</v>
      </c>
      <c r="F787" s="1332"/>
      <c r="G787" s="1334"/>
      <c r="H787" s="810" t="s">
        <v>12</v>
      </c>
      <c r="I787" s="1510"/>
      <c r="J787" s="1510"/>
      <c r="K787" s="1511"/>
      <c r="L787" s="899">
        <f t="shared" ref="L787:N788" si="322">L790+L797</f>
        <v>0</v>
      </c>
      <c r="M787" s="899">
        <f t="shared" si="322"/>
        <v>0</v>
      </c>
      <c r="N787" s="899">
        <f t="shared" si="322"/>
        <v>0</v>
      </c>
      <c r="O787" s="899">
        <f t="shared" si="320"/>
        <v>0</v>
      </c>
      <c r="P787" s="899">
        <f t="shared" si="321"/>
        <v>0</v>
      </c>
      <c r="Q787" s="1335"/>
      <c r="R787" s="1335"/>
      <c r="S787" s="1335"/>
      <c r="T787" s="1335"/>
      <c r="U787" s="1335"/>
      <c r="V787" s="1335"/>
      <c r="W787" s="1335"/>
      <c r="X787" s="1335"/>
      <c r="Y787" s="1335"/>
      <c r="Z787" s="1335"/>
    </row>
    <row r="788" spans="1:26" ht="18.75" hidden="1">
      <c r="A788" s="1331"/>
      <c r="B788" s="1336"/>
      <c r="C788" s="1336"/>
      <c r="D788" s="1345"/>
      <c r="E788" s="1332" t="s">
        <v>186</v>
      </c>
      <c r="F788" s="1332"/>
      <c r="G788" s="1334"/>
      <c r="H788" s="810" t="s">
        <v>12</v>
      </c>
      <c r="I788" s="1510"/>
      <c r="J788" s="1510"/>
      <c r="K788" s="1511"/>
      <c r="L788" s="899">
        <f t="shared" ca="1" si="322"/>
        <v>335200</v>
      </c>
      <c r="M788" s="899">
        <f t="shared" ca="1" si="322"/>
        <v>335200</v>
      </c>
      <c r="N788" s="899">
        <f t="shared" si="322"/>
        <v>216983.31</v>
      </c>
      <c r="O788" s="899">
        <f t="shared" ca="1" si="320"/>
        <v>64.732491050119336</v>
      </c>
      <c r="P788" s="899">
        <f t="shared" ca="1" si="321"/>
        <v>64.732491050119336</v>
      </c>
      <c r="Q788" s="1335"/>
      <c r="R788" s="1335"/>
      <c r="S788" s="1335"/>
      <c r="T788" s="1335"/>
      <c r="U788" s="1335"/>
      <c r="V788" s="1335"/>
      <c r="W788" s="1335"/>
      <c r="X788" s="1335"/>
      <c r="Y788" s="1335"/>
      <c r="Z788" s="1335"/>
    </row>
    <row r="789" spans="1:26" ht="18.75">
      <c r="A789" s="1329"/>
      <c r="B789" s="1312"/>
      <c r="C789" s="1312"/>
      <c r="D789" s="1337" t="s">
        <v>20</v>
      </c>
      <c r="E789" s="1313"/>
      <c r="F789" s="1313"/>
      <c r="G789" s="1028"/>
      <c r="H789" s="811" t="s">
        <v>12</v>
      </c>
      <c r="I789" s="1512"/>
      <c r="J789" s="1512"/>
      <c r="K789" s="1513"/>
      <c r="L789" s="893">
        <f t="shared" ref="L789:N789" ca="1" si="323">L790+L791</f>
        <v>335200</v>
      </c>
      <c r="M789" s="893">
        <f t="shared" ca="1" si="323"/>
        <v>335200</v>
      </c>
      <c r="N789" s="893">
        <f t="shared" si="323"/>
        <v>216983.31</v>
      </c>
      <c r="O789" s="893">
        <f t="shared" ca="1" si="320"/>
        <v>64.732491050119336</v>
      </c>
      <c r="P789" s="893">
        <f t="shared" ca="1" si="321"/>
        <v>64.732491050119336</v>
      </c>
      <c r="Q789" s="1314"/>
      <c r="R789" s="1314"/>
      <c r="S789" s="1314"/>
      <c r="T789" s="1314"/>
      <c r="U789" s="1314"/>
      <c r="V789" s="1314"/>
      <c r="W789" s="1314"/>
      <c r="X789" s="1314"/>
      <c r="Y789" s="1314"/>
      <c r="Z789" s="1314"/>
    </row>
    <row r="790" spans="1:26" ht="18.75" hidden="1">
      <c r="A790" s="1331"/>
      <c r="B790" s="1336"/>
      <c r="C790" s="1336"/>
      <c r="D790" s="1345"/>
      <c r="E790" s="1332" t="s">
        <v>185</v>
      </c>
      <c r="F790" s="1332"/>
      <c r="G790" s="1334"/>
      <c r="H790" s="810" t="s">
        <v>12</v>
      </c>
      <c r="I790" s="1510"/>
      <c r="J790" s="1510"/>
      <c r="K790" s="1511"/>
      <c r="L790" s="899">
        <v>0</v>
      </c>
      <c r="M790" s="899">
        <v>0</v>
      </c>
      <c r="N790" s="899">
        <v>0</v>
      </c>
      <c r="O790" s="899">
        <f t="shared" si="320"/>
        <v>0</v>
      </c>
      <c r="P790" s="899">
        <f t="shared" si="321"/>
        <v>0</v>
      </c>
      <c r="Q790" s="1335"/>
      <c r="R790" s="1335"/>
      <c r="S790" s="1335"/>
      <c r="T790" s="1335"/>
      <c r="U790" s="1335"/>
      <c r="V790" s="1335"/>
      <c r="W790" s="1335"/>
      <c r="X790" s="1335"/>
      <c r="Y790" s="1335"/>
      <c r="Z790" s="1335"/>
    </row>
    <row r="791" spans="1:26" ht="18.75" hidden="1">
      <c r="A791" s="1331"/>
      <c r="B791" s="1336"/>
      <c r="C791" s="1336"/>
      <c r="D791" s="1345"/>
      <c r="E791" s="1332" t="s">
        <v>186</v>
      </c>
      <c r="F791" s="1332"/>
      <c r="G791" s="1334"/>
      <c r="H791" s="810" t="s">
        <v>12</v>
      </c>
      <c r="I791" s="1510"/>
      <c r="J791" s="1510"/>
      <c r="K791" s="1511"/>
      <c r="L791" s="899">
        <f ca="1">IFERROR(__xludf.DUMMYFUNCTION("IMPORTRANGE(""https://docs.google.com/spreadsheets/d/1QqKyyYR6Q21VydFLVH3TRQUabQu_ym0Zz7PgGX0-kHA/edit?usp=sharing"",""แผน!JJ51"")"),335200)</f>
        <v>335200</v>
      </c>
      <c r="M791" s="899">
        <f ca="1">L791</f>
        <v>335200</v>
      </c>
      <c r="N791" s="899">
        <f>N792+N793+N794+N795</f>
        <v>216983.31</v>
      </c>
      <c r="O791" s="899">
        <f t="shared" ca="1" si="320"/>
        <v>64.732491050119336</v>
      </c>
      <c r="P791" s="899">
        <f t="shared" ca="1" si="321"/>
        <v>64.732491050119336</v>
      </c>
      <c r="Q791" s="1335"/>
      <c r="R791" s="1335"/>
      <c r="S791" s="1335"/>
      <c r="T791" s="1335"/>
      <c r="U791" s="1335"/>
      <c r="V791" s="1335"/>
      <c r="W791" s="1335"/>
      <c r="X791" s="1335"/>
      <c r="Y791" s="1335"/>
      <c r="Z791" s="1335"/>
    </row>
    <row r="792" spans="1:26" ht="18.75">
      <c r="A792" s="1311"/>
      <c r="B792" s="1312"/>
      <c r="C792" s="1313"/>
      <c r="D792" s="1313"/>
      <c r="E792" s="1313"/>
      <c r="F792" s="1313" t="s">
        <v>187</v>
      </c>
      <c r="G792" s="1028"/>
      <c r="H792" s="811" t="s">
        <v>12</v>
      </c>
      <c r="I792" s="1510"/>
      <c r="J792" s="1510"/>
      <c r="K792" s="1511"/>
      <c r="L792" s="893"/>
      <c r="M792" s="893"/>
      <c r="N792" s="1096">
        <v>0</v>
      </c>
      <c r="O792" s="893"/>
      <c r="P792" s="893"/>
      <c r="Q792" s="1314"/>
      <c r="R792" s="1314"/>
      <c r="S792" s="1314"/>
      <c r="T792" s="1314"/>
      <c r="U792" s="1314"/>
      <c r="V792" s="1314"/>
      <c r="W792" s="1314"/>
      <c r="X792" s="1314"/>
      <c r="Y792" s="1314"/>
      <c r="Z792" s="1314"/>
    </row>
    <row r="793" spans="1:26" ht="18.75">
      <c r="A793" s="1311"/>
      <c r="B793" s="1312"/>
      <c r="C793" s="1313"/>
      <c r="D793" s="1313"/>
      <c r="E793" s="1313"/>
      <c r="F793" s="1313" t="s">
        <v>188</v>
      </c>
      <c r="G793" s="1028"/>
      <c r="H793" s="811" t="s">
        <v>12</v>
      </c>
      <c r="I793" s="1510"/>
      <c r="J793" s="1510"/>
      <c r="K793" s="1511"/>
      <c r="L793" s="893"/>
      <c r="M793" s="893"/>
      <c r="N793" s="1096">
        <v>0</v>
      </c>
      <c r="O793" s="893"/>
      <c r="P793" s="893"/>
      <c r="Q793" s="1314"/>
      <c r="R793" s="1314"/>
      <c r="S793" s="1314"/>
      <c r="T793" s="1314"/>
      <c r="U793" s="1314"/>
      <c r="V793" s="1314"/>
      <c r="W793" s="1314"/>
      <c r="X793" s="1314"/>
      <c r="Y793" s="1314"/>
      <c r="Z793" s="1314"/>
    </row>
    <row r="794" spans="1:26" ht="18.75">
      <c r="A794" s="1311"/>
      <c r="B794" s="1312"/>
      <c r="C794" s="1313"/>
      <c r="D794" s="1313"/>
      <c r="E794" s="1313"/>
      <c r="F794" s="1313" t="s">
        <v>189</v>
      </c>
      <c r="G794" s="1028"/>
      <c r="H794" s="811" t="s">
        <v>12</v>
      </c>
      <c r="I794" s="1510"/>
      <c r="J794" s="1510"/>
      <c r="K794" s="1511"/>
      <c r="L794" s="893"/>
      <c r="M794" s="893"/>
      <c r="N794" s="1096">
        <v>46687</v>
      </c>
      <c r="O794" s="893"/>
      <c r="P794" s="893"/>
      <c r="Q794" s="1314"/>
      <c r="R794" s="1314"/>
      <c r="S794" s="1314"/>
      <c r="T794" s="1314"/>
      <c r="U794" s="1314"/>
      <c r="V794" s="1314"/>
      <c r="W794" s="1314"/>
      <c r="X794" s="1314"/>
      <c r="Y794" s="1314"/>
      <c r="Z794" s="1314"/>
    </row>
    <row r="795" spans="1:26" ht="18.75">
      <c r="A795" s="1311"/>
      <c r="B795" s="1312"/>
      <c r="C795" s="1313"/>
      <c r="D795" s="1313"/>
      <c r="E795" s="1313"/>
      <c r="F795" s="1313" t="s">
        <v>190</v>
      </c>
      <c r="G795" s="1028"/>
      <c r="H795" s="811" t="s">
        <v>12</v>
      </c>
      <c r="I795" s="1510"/>
      <c r="J795" s="1510"/>
      <c r="K795" s="1511"/>
      <c r="L795" s="893"/>
      <c r="M795" s="893"/>
      <c r="N795" s="1096">
        <f>58920+18600+39800+44640+8336.31</f>
        <v>170296.31</v>
      </c>
      <c r="O795" s="893"/>
      <c r="P795" s="893"/>
      <c r="Q795" s="1314"/>
      <c r="R795" s="1314"/>
      <c r="S795" s="1314"/>
      <c r="T795" s="1314"/>
      <c r="U795" s="1314"/>
      <c r="V795" s="1314"/>
      <c r="W795" s="1314"/>
      <c r="X795" s="1314"/>
      <c r="Y795" s="1314"/>
      <c r="Z795" s="1314"/>
    </row>
    <row r="796" spans="1:26" ht="18.75">
      <c r="A796" s="1329"/>
      <c r="B796" s="1312"/>
      <c r="C796" s="1313"/>
      <c r="D796" s="1337" t="s">
        <v>21</v>
      </c>
      <c r="E796" s="1313"/>
      <c r="F796" s="1313"/>
      <c r="G796" s="1028"/>
      <c r="H796" s="814" t="s">
        <v>12</v>
      </c>
      <c r="I796" s="1512"/>
      <c r="J796" s="1512"/>
      <c r="K796" s="1513"/>
      <c r="L796" s="893">
        <f t="shared" ref="L796:N796" si="324">L797+L798</f>
        <v>0</v>
      </c>
      <c r="M796" s="893">
        <f t="shared" si="324"/>
        <v>0</v>
      </c>
      <c r="N796" s="893">
        <f t="shared" si="324"/>
        <v>0</v>
      </c>
      <c r="O796" s="893">
        <f t="shared" ref="O796:O798" si="325">IF(L796&gt;0,N796*100/L796,0)</f>
        <v>0</v>
      </c>
      <c r="P796" s="893">
        <f t="shared" ref="P796:P798" si="326">IF(M796&gt;0,N796*100/M796,0)</f>
        <v>0</v>
      </c>
      <c r="Q796" s="1314"/>
      <c r="R796" s="1314"/>
      <c r="S796" s="1314"/>
      <c r="T796" s="1314"/>
      <c r="U796" s="1314"/>
      <c r="V796" s="1314"/>
      <c r="W796" s="1314"/>
      <c r="X796" s="1314"/>
      <c r="Y796" s="1314"/>
      <c r="Z796" s="1314"/>
    </row>
    <row r="797" spans="1:26" ht="18.75" hidden="1">
      <c r="A797" s="1331"/>
      <c r="B797" s="1336"/>
      <c r="C797" s="1332"/>
      <c r="D797" s="1332"/>
      <c r="E797" s="1332" t="s">
        <v>18</v>
      </c>
      <c r="F797" s="1332"/>
      <c r="G797" s="1334"/>
      <c r="H797" s="810" t="s">
        <v>12</v>
      </c>
      <c r="I797" s="1512"/>
      <c r="J797" s="1512"/>
      <c r="K797" s="1513"/>
      <c r="L797" s="899">
        <v>0</v>
      </c>
      <c r="M797" s="899">
        <v>0</v>
      </c>
      <c r="N797" s="899">
        <v>0</v>
      </c>
      <c r="O797" s="899">
        <f t="shared" si="325"/>
        <v>0</v>
      </c>
      <c r="P797" s="899">
        <f t="shared" si="326"/>
        <v>0</v>
      </c>
      <c r="Q797" s="1335"/>
      <c r="R797" s="1335"/>
      <c r="S797" s="1335"/>
      <c r="T797" s="1335"/>
      <c r="U797" s="1335"/>
      <c r="V797" s="1335"/>
      <c r="W797" s="1335"/>
      <c r="X797" s="1335"/>
      <c r="Y797" s="1335"/>
      <c r="Z797" s="1335"/>
    </row>
    <row r="798" spans="1:26" ht="18.75" hidden="1">
      <c r="A798" s="1331"/>
      <c r="B798" s="1336"/>
      <c r="C798" s="1332"/>
      <c r="D798" s="1332"/>
      <c r="E798" s="1332" t="s">
        <v>19</v>
      </c>
      <c r="F798" s="1332"/>
      <c r="G798" s="1334"/>
      <c r="H798" s="815" t="s">
        <v>12</v>
      </c>
      <c r="I798" s="1512"/>
      <c r="J798" s="1512"/>
      <c r="K798" s="1513"/>
      <c r="L798" s="899">
        <v>0</v>
      </c>
      <c r="M798" s="899">
        <v>0</v>
      </c>
      <c r="N798" s="899">
        <v>0</v>
      </c>
      <c r="O798" s="899">
        <f t="shared" si="325"/>
        <v>0</v>
      </c>
      <c r="P798" s="899">
        <f t="shared" si="326"/>
        <v>0</v>
      </c>
      <c r="Q798" s="1335"/>
      <c r="R798" s="1335"/>
      <c r="S798" s="1335"/>
      <c r="T798" s="1335"/>
      <c r="U798" s="1335"/>
      <c r="V798" s="1335"/>
      <c r="W798" s="1335"/>
      <c r="X798" s="1335"/>
      <c r="Y798" s="1335"/>
      <c r="Z798" s="1335"/>
    </row>
    <row r="799" spans="1:26" ht="19.5">
      <c r="A799" s="1338"/>
      <c r="B799" s="1339"/>
      <c r="C799" s="1313" t="s">
        <v>16</v>
      </c>
      <c r="D799" s="1451" t="s">
        <v>38</v>
      </c>
      <c r="E799" s="1342"/>
      <c r="F799" s="1342"/>
      <c r="G799" s="1343"/>
      <c r="H799" s="1514"/>
      <c r="I799" s="1512"/>
      <c r="J799" s="1512"/>
      <c r="K799" s="1513"/>
      <c r="L799" s="1010"/>
      <c r="M799" s="1010"/>
      <c r="N799" s="1010"/>
      <c r="O799" s="1010"/>
      <c r="P799" s="1010"/>
      <c r="Q799" s="1314"/>
      <c r="R799" s="1314"/>
      <c r="S799" s="1314"/>
      <c r="T799" s="1314"/>
      <c r="U799" s="1314"/>
      <c r="V799" s="1314"/>
      <c r="W799" s="1314"/>
      <c r="X799" s="1314"/>
      <c r="Y799" s="1314"/>
      <c r="Z799" s="1314"/>
    </row>
    <row r="800" spans="1:26" ht="18.75">
      <c r="A800" s="1338"/>
      <c r="B800" s="1339"/>
      <c r="C800" s="1339"/>
      <c r="D800" s="1339"/>
      <c r="E800" s="1026"/>
      <c r="F800" s="1026" t="s">
        <v>321</v>
      </c>
      <c r="G800" s="1019"/>
      <c r="H800" s="817" t="s">
        <v>34</v>
      </c>
      <c r="I800" s="1512"/>
      <c r="J800" s="818">
        <f ca="1">IFERROR(__xludf.DUMMYFUNCTION("IMPORTRANGE(""https://docs.google.com/spreadsheets/d/1MaWodYyGHDf7siQLGxnXhG4mBNTNIuy296niS2xXulU/edit?usp=sharing"",""RTK!H51"")"),152)</f>
        <v>152</v>
      </c>
      <c r="K800" s="1511"/>
      <c r="L800" s="893"/>
      <c r="M800" s="893"/>
      <c r="N800" s="893"/>
      <c r="O800" s="1010"/>
      <c r="P800" s="1010"/>
      <c r="Q800" s="1314"/>
      <c r="R800" s="1314"/>
      <c r="S800" s="1314"/>
      <c r="T800" s="1314"/>
      <c r="U800" s="1314"/>
      <c r="V800" s="1314"/>
      <c r="W800" s="1314"/>
      <c r="X800" s="1314"/>
      <c r="Y800" s="1314"/>
      <c r="Z800" s="1314"/>
    </row>
    <row r="801" spans="1:26" ht="18.75">
      <c r="A801" s="1338"/>
      <c r="B801" s="1339"/>
      <c r="C801" s="1339"/>
      <c r="D801" s="1339"/>
      <c r="E801" s="1026"/>
      <c r="F801" s="1026"/>
      <c r="G801" s="1019"/>
      <c r="H801" s="811" t="s">
        <v>46</v>
      </c>
      <c r="I801" s="818">
        <f ca="1">IFERROR(__xludf.DUMMYFUNCTION("IMPORTRANGE(""https://docs.google.com/spreadsheets/d/1MaWodYyGHDf7siQLGxnXhG4mBNTNIuy296niS2xXulU/edit?usp=sharing"",""RTK!G51"")"),5000)</f>
        <v>5000</v>
      </c>
      <c r="J801" s="819">
        <f ca="1">IFERROR(__xludf.DUMMYFUNCTION("IMPORTRANGE(""https://docs.google.com/spreadsheets/d/1MaWodYyGHDf7siQLGxnXhG4mBNTNIuy296niS2xXulU/edit?usp=sharing"",""RTK!I51"")"),2204)</f>
        <v>2204</v>
      </c>
      <c r="K801" s="820">
        <f ca="1">IF(I801&gt;0,J801*100/I801,0)</f>
        <v>44.08</v>
      </c>
      <c r="L801" s="893"/>
      <c r="M801" s="893"/>
      <c r="N801" s="893"/>
      <c r="O801" s="1010"/>
      <c r="P801" s="1010"/>
      <c r="Q801" s="1314"/>
      <c r="R801" s="1314"/>
      <c r="S801" s="1314"/>
      <c r="T801" s="1314"/>
      <c r="U801" s="1314"/>
      <c r="V801" s="1314"/>
      <c r="W801" s="1314"/>
      <c r="X801" s="1314"/>
      <c r="Y801" s="1314"/>
      <c r="Z801" s="1314"/>
    </row>
    <row r="802" spans="1:26" ht="18.75">
      <c r="A802" s="1521"/>
      <c r="B802" s="1522"/>
      <c r="C802" s="1522"/>
      <c r="D802" s="1522"/>
      <c r="E802" s="1515"/>
      <c r="F802" s="1515" t="s">
        <v>322</v>
      </c>
      <c r="G802" s="1523"/>
      <c r="H802" s="817" t="s">
        <v>34</v>
      </c>
      <c r="I802" s="1512"/>
      <c r="J802" s="818">
        <f ca="1">IFERROR(__xludf.DUMMYFUNCTION("IMPORTRANGE(""https://docs.google.com/spreadsheets/d/1MaWodYyGHDf7siQLGxnXhG4mBNTNIuy296niS2xXulU/edit?usp=sharing"",""RTK!L51"")"),0)</f>
        <v>0</v>
      </c>
      <c r="K802" s="1511"/>
      <c r="L802" s="1134"/>
      <c r="M802" s="1134"/>
      <c r="N802" s="1134"/>
      <c r="O802" s="1134"/>
      <c r="P802" s="1134"/>
      <c r="Q802" s="1524"/>
      <c r="R802" s="1524"/>
      <c r="S802" s="1524"/>
      <c r="T802" s="1524"/>
      <c r="U802" s="1524"/>
      <c r="V802" s="1524"/>
      <c r="W802" s="1524"/>
      <c r="X802" s="1524"/>
      <c r="Y802" s="1524"/>
      <c r="Z802" s="1524"/>
    </row>
    <row r="803" spans="1:26" ht="18.75">
      <c r="A803" s="1521"/>
      <c r="B803" s="1522"/>
      <c r="C803" s="1522"/>
      <c r="D803" s="1522"/>
      <c r="E803" s="1515"/>
      <c r="F803" s="1515"/>
      <c r="G803" s="1523"/>
      <c r="H803" s="817" t="s">
        <v>46</v>
      </c>
      <c r="I803" s="818">
        <f ca="1">IFERROR(__xludf.DUMMYFUNCTION("IMPORTRANGE(""https://docs.google.com/spreadsheets/d/1MaWodYyGHDf7siQLGxnXhG4mBNTNIuy296niS2xXulU/edit?usp=sharing"",""RTK!K51"")"),0)</f>
        <v>0</v>
      </c>
      <c r="J803" s="819">
        <f ca="1">IFERROR(__xludf.DUMMYFUNCTION("IMPORTRANGE(""https://docs.google.com/spreadsheets/d/1MaWodYyGHDf7siQLGxnXhG4mBNTNIuy296niS2xXulU/edit?usp=sharing"",""RTK!M51"")"),0)</f>
        <v>0</v>
      </c>
      <c r="K803" s="820">
        <f t="shared" ref="K803:K804" ca="1" si="327">IF(I803&gt;0,J803*100/I803,0)</f>
        <v>0</v>
      </c>
      <c r="L803" s="1134"/>
      <c r="M803" s="1134"/>
      <c r="N803" s="1134"/>
      <c r="O803" s="1134"/>
      <c r="P803" s="1134"/>
      <c r="Q803" s="1524"/>
      <c r="R803" s="1524"/>
      <c r="S803" s="1524"/>
      <c r="T803" s="1524"/>
      <c r="U803" s="1524"/>
      <c r="V803" s="1524"/>
      <c r="W803" s="1524"/>
      <c r="X803" s="1524"/>
      <c r="Y803" s="1524"/>
      <c r="Z803" s="1524"/>
    </row>
    <row r="804" spans="1:26" ht="19.5" hidden="1">
      <c r="A804" s="790">
        <v>13</v>
      </c>
      <c r="B804" s="1473" t="s">
        <v>323</v>
      </c>
      <c r="C804" s="1474"/>
      <c r="D804" s="1489"/>
      <c r="E804" s="1474"/>
      <c r="F804" s="1474"/>
      <c r="G804" s="1475"/>
      <c r="H804" s="794" t="s">
        <v>46</v>
      </c>
      <c r="I804" s="1476"/>
      <c r="J804" s="1476">
        <f>J819</f>
        <v>0</v>
      </c>
      <c r="K804" s="1477">
        <f t="shared" si="327"/>
        <v>0</v>
      </c>
      <c r="L804" s="1478"/>
      <c r="M804" s="1478"/>
      <c r="N804" s="1478"/>
      <c r="O804" s="1478"/>
      <c r="P804" s="1478"/>
      <c r="Q804" s="1335"/>
      <c r="R804" s="1335"/>
      <c r="S804" s="1335"/>
      <c r="T804" s="1335"/>
      <c r="U804" s="1335"/>
      <c r="V804" s="1335"/>
      <c r="W804" s="1335"/>
      <c r="X804" s="1335"/>
      <c r="Y804" s="1335"/>
      <c r="Z804" s="1335"/>
    </row>
    <row r="805" spans="1:26" ht="19.5" hidden="1">
      <c r="A805" s="1331"/>
      <c r="B805" s="1332"/>
      <c r="C805" s="1332" t="s">
        <v>16</v>
      </c>
      <c r="D805" s="1363" t="s">
        <v>17</v>
      </c>
      <c r="E805" s="853"/>
      <c r="F805" s="853"/>
      <c r="G805" s="1334"/>
      <c r="H805" s="643" t="s">
        <v>12</v>
      </c>
      <c r="I805" s="898"/>
      <c r="J805" s="898"/>
      <c r="K805" s="899"/>
      <c r="L805" s="1364">
        <f t="shared" ref="L805:N805" si="328">L806+L807</f>
        <v>0</v>
      </c>
      <c r="M805" s="1364">
        <f t="shared" si="328"/>
        <v>0</v>
      </c>
      <c r="N805" s="1364">
        <f t="shared" si="328"/>
        <v>0</v>
      </c>
      <c r="O805" s="1364">
        <f t="shared" ref="O805:O810" si="329">IF(L805&gt;0,N805*100/L805,0)</f>
        <v>0</v>
      </c>
      <c r="P805" s="1364">
        <f t="shared" ref="P805:P810" si="330">IF(M805&gt;0,N805*100/M805,0)</f>
        <v>0</v>
      </c>
      <c r="Q805" s="1335"/>
      <c r="R805" s="1335"/>
      <c r="S805" s="1335"/>
      <c r="T805" s="1335"/>
      <c r="U805" s="1335"/>
      <c r="V805" s="1335"/>
      <c r="W805" s="1335"/>
      <c r="X805" s="1335"/>
      <c r="Y805" s="1335"/>
      <c r="Z805" s="1335"/>
    </row>
    <row r="806" spans="1:26" ht="18.75" hidden="1">
      <c r="A806" s="1331"/>
      <c r="B806" s="1332"/>
      <c r="C806" s="1332"/>
      <c r="D806" s="1345"/>
      <c r="E806" s="1332" t="s">
        <v>185</v>
      </c>
      <c r="F806" s="1332"/>
      <c r="G806" s="1334"/>
      <c r="H806" s="165" t="s">
        <v>12</v>
      </c>
      <c r="I806" s="898"/>
      <c r="J806" s="898"/>
      <c r="K806" s="899"/>
      <c r="L806" s="899">
        <f t="shared" ref="L806:N807" si="331">L809+L816</f>
        <v>0</v>
      </c>
      <c r="M806" s="899">
        <f t="shared" si="331"/>
        <v>0</v>
      </c>
      <c r="N806" s="899">
        <f t="shared" si="331"/>
        <v>0</v>
      </c>
      <c r="O806" s="899">
        <f t="shared" si="329"/>
        <v>0</v>
      </c>
      <c r="P806" s="899">
        <f t="shared" si="330"/>
        <v>0</v>
      </c>
      <c r="Q806" s="1335"/>
      <c r="R806" s="1335"/>
      <c r="S806" s="1335"/>
      <c r="T806" s="1335"/>
      <c r="U806" s="1335"/>
      <c r="V806" s="1335"/>
      <c r="W806" s="1335"/>
      <c r="X806" s="1335"/>
      <c r="Y806" s="1335"/>
      <c r="Z806" s="1335"/>
    </row>
    <row r="807" spans="1:26" ht="18.75" hidden="1">
      <c r="A807" s="1331"/>
      <c r="B807" s="1332"/>
      <c r="C807" s="1332"/>
      <c r="D807" s="1345"/>
      <c r="E807" s="1332" t="s">
        <v>186</v>
      </c>
      <c r="F807" s="1332"/>
      <c r="G807" s="1334"/>
      <c r="H807" s="165" t="s">
        <v>12</v>
      </c>
      <c r="I807" s="898"/>
      <c r="J807" s="898"/>
      <c r="K807" s="899"/>
      <c r="L807" s="899">
        <f t="shared" si="331"/>
        <v>0</v>
      </c>
      <c r="M807" s="899">
        <f t="shared" si="331"/>
        <v>0</v>
      </c>
      <c r="N807" s="899">
        <f t="shared" si="331"/>
        <v>0</v>
      </c>
      <c r="O807" s="899">
        <f t="shared" si="329"/>
        <v>0</v>
      </c>
      <c r="P807" s="899">
        <f t="shared" si="330"/>
        <v>0</v>
      </c>
      <c r="Q807" s="1335"/>
      <c r="R807" s="1335"/>
      <c r="S807" s="1335"/>
      <c r="T807" s="1335"/>
      <c r="U807" s="1335"/>
      <c r="V807" s="1335"/>
      <c r="W807" s="1335"/>
      <c r="X807" s="1335"/>
      <c r="Y807" s="1335"/>
      <c r="Z807" s="1335"/>
    </row>
    <row r="808" spans="1:26" ht="19.5" hidden="1">
      <c r="A808" s="1331"/>
      <c r="B808" s="1336"/>
      <c r="C808" s="1332"/>
      <c r="D808" s="1490" t="s">
        <v>20</v>
      </c>
      <c r="E808" s="853"/>
      <c r="F808" s="853"/>
      <c r="G808" s="1334"/>
      <c r="H808" s="643" t="s">
        <v>12</v>
      </c>
      <c r="I808" s="1012"/>
      <c r="J808" s="1012"/>
      <c r="K808" s="1013"/>
      <c r="L808" s="1364">
        <f t="shared" ref="L808:N808" si="332">L809+L810</f>
        <v>0</v>
      </c>
      <c r="M808" s="1364">
        <f t="shared" si="332"/>
        <v>0</v>
      </c>
      <c r="N808" s="1364">
        <f t="shared" si="332"/>
        <v>0</v>
      </c>
      <c r="O808" s="1364">
        <f t="shared" si="329"/>
        <v>0</v>
      </c>
      <c r="P808" s="1364">
        <f t="shared" si="330"/>
        <v>0</v>
      </c>
      <c r="Q808" s="1335"/>
      <c r="R808" s="1335"/>
      <c r="S808" s="1335"/>
      <c r="T808" s="1335"/>
      <c r="U808" s="1335"/>
      <c r="V808" s="1335"/>
      <c r="W808" s="1335"/>
      <c r="X808" s="1335"/>
      <c r="Y808" s="1335"/>
      <c r="Z808" s="1335"/>
    </row>
    <row r="809" spans="1:26" ht="18.75" hidden="1">
      <c r="A809" s="1331"/>
      <c r="B809" s="1332"/>
      <c r="C809" s="1332"/>
      <c r="D809" s="1345"/>
      <c r="E809" s="1332" t="s">
        <v>185</v>
      </c>
      <c r="F809" s="1332"/>
      <c r="G809" s="1334"/>
      <c r="H809" s="165" t="s">
        <v>12</v>
      </c>
      <c r="I809" s="898"/>
      <c r="J809" s="898"/>
      <c r="K809" s="899"/>
      <c r="L809" s="899">
        <v>0</v>
      </c>
      <c r="M809" s="899">
        <v>0</v>
      </c>
      <c r="N809" s="899">
        <v>0</v>
      </c>
      <c r="O809" s="899">
        <f t="shared" si="329"/>
        <v>0</v>
      </c>
      <c r="P809" s="899">
        <f t="shared" si="330"/>
        <v>0</v>
      </c>
      <c r="Q809" s="1335"/>
      <c r="R809" s="1335"/>
      <c r="S809" s="1335"/>
      <c r="T809" s="1335"/>
      <c r="U809" s="1335"/>
      <c r="V809" s="1335"/>
      <c r="W809" s="1335"/>
      <c r="X809" s="1335"/>
      <c r="Y809" s="1335"/>
      <c r="Z809" s="1335"/>
    </row>
    <row r="810" spans="1:26" ht="18.75" hidden="1">
      <c r="A810" s="1331"/>
      <c r="B810" s="1332"/>
      <c r="C810" s="1332"/>
      <c r="D810" s="1345"/>
      <c r="E810" s="1332" t="s">
        <v>186</v>
      </c>
      <c r="F810" s="1332"/>
      <c r="G810" s="1334"/>
      <c r="H810" s="165" t="s">
        <v>12</v>
      </c>
      <c r="I810" s="898"/>
      <c r="J810" s="898"/>
      <c r="K810" s="899"/>
      <c r="L810" s="899">
        <v>0</v>
      </c>
      <c r="M810" s="899">
        <v>0</v>
      </c>
      <c r="N810" s="899">
        <f>N811+N812+N813+N814</f>
        <v>0</v>
      </c>
      <c r="O810" s="899">
        <f t="shared" si="329"/>
        <v>0</v>
      </c>
      <c r="P810" s="899">
        <f t="shared" si="330"/>
        <v>0</v>
      </c>
      <c r="Q810" s="1335"/>
      <c r="R810" s="1335"/>
      <c r="S810" s="1335"/>
      <c r="T810" s="1335"/>
      <c r="U810" s="1335"/>
      <c r="V810" s="1335"/>
      <c r="W810" s="1335"/>
      <c r="X810" s="1335"/>
      <c r="Y810" s="1335"/>
      <c r="Z810" s="1335"/>
    </row>
    <row r="811" spans="1:26" ht="18.75" hidden="1">
      <c r="A811" s="1366"/>
      <c r="B811" s="1336"/>
      <c r="C811" s="1332"/>
      <c r="D811" s="1336"/>
      <c r="E811" s="1332"/>
      <c r="F811" s="1332" t="s">
        <v>187</v>
      </c>
      <c r="G811" s="1334"/>
      <c r="H811" s="165" t="s">
        <v>12</v>
      </c>
      <c r="I811" s="898"/>
      <c r="J811" s="898"/>
      <c r="K811" s="899"/>
      <c r="L811" s="899"/>
      <c r="M811" s="899"/>
      <c r="N811" s="899"/>
      <c r="O811" s="899"/>
      <c r="P811" s="899"/>
      <c r="Q811" s="1335"/>
      <c r="R811" s="1335"/>
      <c r="S811" s="1335"/>
      <c r="T811" s="1335"/>
      <c r="U811" s="1335"/>
      <c r="V811" s="1335"/>
      <c r="W811" s="1335"/>
      <c r="X811" s="1335"/>
      <c r="Y811" s="1335"/>
      <c r="Z811" s="1335"/>
    </row>
    <row r="812" spans="1:26" ht="18.75" hidden="1">
      <c r="A812" s="1366"/>
      <c r="B812" s="1336"/>
      <c r="C812" s="1332"/>
      <c r="D812" s="1336"/>
      <c r="E812" s="1332"/>
      <c r="F812" s="1332" t="s">
        <v>188</v>
      </c>
      <c r="G812" s="1334"/>
      <c r="H812" s="165" t="s">
        <v>12</v>
      </c>
      <c r="I812" s="898"/>
      <c r="J812" s="898"/>
      <c r="K812" s="899"/>
      <c r="L812" s="899"/>
      <c r="M812" s="899"/>
      <c r="N812" s="899"/>
      <c r="O812" s="899"/>
      <c r="P812" s="899"/>
      <c r="Q812" s="1335"/>
      <c r="R812" s="1335"/>
      <c r="S812" s="1335"/>
      <c r="T812" s="1335"/>
      <c r="U812" s="1335"/>
      <c r="V812" s="1335"/>
      <c r="W812" s="1335"/>
      <c r="X812" s="1335"/>
      <c r="Y812" s="1335"/>
      <c r="Z812" s="1335"/>
    </row>
    <row r="813" spans="1:26" ht="18.75" hidden="1">
      <c r="A813" s="1366"/>
      <c r="B813" s="1336"/>
      <c r="C813" s="1332"/>
      <c r="D813" s="1336"/>
      <c r="E813" s="1332"/>
      <c r="F813" s="1332" t="s">
        <v>189</v>
      </c>
      <c r="G813" s="1334"/>
      <c r="H813" s="165" t="s">
        <v>12</v>
      </c>
      <c r="I813" s="898"/>
      <c r="J813" s="898"/>
      <c r="K813" s="899"/>
      <c r="L813" s="899"/>
      <c r="M813" s="899"/>
      <c r="N813" s="899"/>
      <c r="O813" s="899"/>
      <c r="P813" s="899"/>
      <c r="Q813" s="1335"/>
      <c r="R813" s="1335"/>
      <c r="S813" s="1335"/>
      <c r="T813" s="1335"/>
      <c r="U813" s="1335"/>
      <c r="V813" s="1335"/>
      <c r="W813" s="1335"/>
      <c r="X813" s="1335"/>
      <c r="Y813" s="1335"/>
      <c r="Z813" s="1335"/>
    </row>
    <row r="814" spans="1:26" ht="18.75" hidden="1">
      <c r="A814" s="1366"/>
      <c r="B814" s="1336"/>
      <c r="C814" s="1332"/>
      <c r="D814" s="1336"/>
      <c r="E814" s="1332"/>
      <c r="F814" s="1332" t="s">
        <v>190</v>
      </c>
      <c r="G814" s="1334"/>
      <c r="H814" s="165" t="s">
        <v>12</v>
      </c>
      <c r="I814" s="898"/>
      <c r="J814" s="898"/>
      <c r="K814" s="899"/>
      <c r="L814" s="899"/>
      <c r="M814" s="899"/>
      <c r="N814" s="899"/>
      <c r="O814" s="899"/>
      <c r="P814" s="899"/>
      <c r="Q814" s="1335"/>
      <c r="R814" s="1335"/>
      <c r="S814" s="1335"/>
      <c r="T814" s="1335"/>
      <c r="U814" s="1335"/>
      <c r="V814" s="1335"/>
      <c r="W814" s="1335"/>
      <c r="X814" s="1335"/>
      <c r="Y814" s="1335"/>
      <c r="Z814" s="1335"/>
    </row>
    <row r="815" spans="1:26" ht="19.5" hidden="1">
      <c r="A815" s="1331"/>
      <c r="B815" s="1336"/>
      <c r="C815" s="1332"/>
      <c r="D815" s="1490" t="s">
        <v>21</v>
      </c>
      <c r="E815" s="853"/>
      <c r="F815" s="853"/>
      <c r="G815" s="1334"/>
      <c r="H815" s="780" t="s">
        <v>12</v>
      </c>
      <c r="I815" s="1012"/>
      <c r="J815" s="1012"/>
      <c r="K815" s="1013"/>
      <c r="L815" s="1364">
        <f t="shared" ref="L815:N815" si="333">L816+L817</f>
        <v>0</v>
      </c>
      <c r="M815" s="1364">
        <f t="shared" si="333"/>
        <v>0</v>
      </c>
      <c r="N815" s="1364">
        <f t="shared" si="333"/>
        <v>0</v>
      </c>
      <c r="O815" s="1364">
        <f t="shared" ref="O815:O817" si="334">IF(L815&gt;0,N815*100/L815,0)</f>
        <v>0</v>
      </c>
      <c r="P815" s="1364">
        <f t="shared" ref="P815:P817" si="335">IF(M815&gt;0,N815*100/M815,0)</f>
        <v>0</v>
      </c>
      <c r="Q815" s="1335"/>
      <c r="R815" s="1335"/>
      <c r="S815" s="1335"/>
      <c r="T815" s="1335"/>
      <c r="U815" s="1335"/>
      <c r="V815" s="1335"/>
      <c r="W815" s="1335"/>
      <c r="X815" s="1335"/>
      <c r="Y815" s="1335"/>
      <c r="Z815" s="1335"/>
    </row>
    <row r="816" spans="1:26" ht="18.75" hidden="1">
      <c r="A816" s="1331"/>
      <c r="B816" s="1336"/>
      <c r="C816" s="1332"/>
      <c r="D816" s="1336"/>
      <c r="E816" s="1332" t="s">
        <v>18</v>
      </c>
      <c r="F816" s="1332"/>
      <c r="G816" s="1334"/>
      <c r="H816" s="165" t="s">
        <v>12</v>
      </c>
      <c r="I816" s="1012"/>
      <c r="J816" s="1012"/>
      <c r="K816" s="1013"/>
      <c r="L816" s="899">
        <v>0</v>
      </c>
      <c r="M816" s="899">
        <v>0</v>
      </c>
      <c r="N816" s="899">
        <v>0</v>
      </c>
      <c r="O816" s="899">
        <f t="shared" si="334"/>
        <v>0</v>
      </c>
      <c r="P816" s="899">
        <f t="shared" si="335"/>
        <v>0</v>
      </c>
      <c r="Q816" s="1335"/>
      <c r="R816" s="1335"/>
      <c r="S816" s="1335"/>
      <c r="T816" s="1335"/>
      <c r="U816" s="1335"/>
      <c r="V816" s="1335"/>
      <c r="W816" s="1335"/>
      <c r="X816" s="1335"/>
      <c r="Y816" s="1335"/>
      <c r="Z816" s="1335"/>
    </row>
    <row r="817" spans="1:26" ht="18.75" hidden="1">
      <c r="A817" s="1331"/>
      <c r="B817" s="1336"/>
      <c r="C817" s="1332"/>
      <c r="D817" s="1336"/>
      <c r="E817" s="1332" t="s">
        <v>19</v>
      </c>
      <c r="F817" s="1332"/>
      <c r="G817" s="1334"/>
      <c r="H817" s="169" t="s">
        <v>12</v>
      </c>
      <c r="I817" s="1012"/>
      <c r="J817" s="1012"/>
      <c r="K817" s="1013"/>
      <c r="L817" s="899">
        <v>0</v>
      </c>
      <c r="M817" s="899">
        <v>0</v>
      </c>
      <c r="N817" s="899">
        <v>0</v>
      </c>
      <c r="O817" s="899">
        <f t="shared" si="334"/>
        <v>0</v>
      </c>
      <c r="P817" s="899">
        <f t="shared" si="335"/>
        <v>0</v>
      </c>
      <c r="Q817" s="1335"/>
      <c r="R817" s="1335"/>
      <c r="S817" s="1335"/>
      <c r="T817" s="1335"/>
      <c r="U817" s="1335"/>
      <c r="V817" s="1335"/>
      <c r="W817" s="1335"/>
      <c r="X817" s="1335"/>
      <c r="Y817" s="1335"/>
      <c r="Z817" s="1335"/>
    </row>
    <row r="818" spans="1:26" ht="19.5" hidden="1">
      <c r="A818" s="1344"/>
      <c r="B818" s="1345"/>
      <c r="C818" s="1332" t="s">
        <v>16</v>
      </c>
      <c r="D818" s="1491" t="s">
        <v>38</v>
      </c>
      <c r="E818" s="1368"/>
      <c r="F818" s="1368"/>
      <c r="G818" s="1369"/>
      <c r="H818" s="1124"/>
      <c r="I818" s="1012"/>
      <c r="J818" s="1012"/>
      <c r="K818" s="1013"/>
      <c r="L818" s="1013"/>
      <c r="M818" s="1013"/>
      <c r="N818" s="1013"/>
      <c r="O818" s="1013"/>
      <c r="P818" s="1013"/>
      <c r="Q818" s="1335"/>
      <c r="R818" s="1335"/>
      <c r="S818" s="1335"/>
      <c r="T818" s="1335"/>
      <c r="U818" s="1335"/>
      <c r="V818" s="1335"/>
      <c r="W818" s="1335"/>
      <c r="X818" s="1335"/>
      <c r="Y818" s="1335"/>
      <c r="Z818" s="1335"/>
    </row>
    <row r="819" spans="1:26" ht="19.5" hidden="1" thickBot="1">
      <c r="A819" s="1492"/>
      <c r="B819" s="1493"/>
      <c r="C819" s="1494"/>
      <c r="D819" s="1493"/>
      <c r="E819" s="1494" t="s">
        <v>324</v>
      </c>
      <c r="F819" s="1494"/>
      <c r="G819" s="1495"/>
      <c r="H819" s="829" t="s">
        <v>46</v>
      </c>
      <c r="I819" s="1496"/>
      <c r="J819" s="1496"/>
      <c r="K819" s="1497"/>
      <c r="L819" s="1497"/>
      <c r="M819" s="1497"/>
      <c r="N819" s="1497"/>
      <c r="O819" s="1497"/>
      <c r="P819" s="1497"/>
      <c r="Q819" s="1335"/>
      <c r="R819" s="1335"/>
      <c r="S819" s="1335"/>
      <c r="T819" s="1335"/>
      <c r="U819" s="1335"/>
      <c r="V819" s="1335"/>
      <c r="W819" s="1335"/>
      <c r="X819" s="1335"/>
      <c r="Y819" s="1335"/>
      <c r="Z819" s="1335"/>
    </row>
    <row r="820" spans="1:26" ht="19.5">
      <c r="A820" s="1498" t="s">
        <v>338</v>
      </c>
      <c r="B820" s="1499"/>
      <c r="C820" s="1499"/>
      <c r="D820" s="1500"/>
      <c r="E820" s="1499"/>
      <c r="F820" s="1499"/>
      <c r="G820" s="1501"/>
      <c r="H820" s="1502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503"/>
      <c r="J820" s="1503"/>
      <c r="K820" s="1504"/>
      <c r="L820" s="1504"/>
      <c r="M820" s="1504"/>
      <c r="N820" s="1504"/>
      <c r="O820" s="1504"/>
      <c r="P820" s="1504"/>
      <c r="Q820" s="1314"/>
      <c r="R820" s="1314"/>
      <c r="S820" s="1314"/>
      <c r="T820" s="1314"/>
      <c r="U820" s="1314"/>
      <c r="V820" s="1314"/>
      <c r="W820" s="1314"/>
      <c r="X820" s="1314"/>
      <c r="Y820" s="1314"/>
      <c r="Z820" s="1314"/>
    </row>
    <row r="821" spans="1:26" ht="18.75">
      <c r="A821" s="1441"/>
      <c r="B821" s="1313" t="s">
        <v>326</v>
      </c>
      <c r="C821" s="1313"/>
      <c r="D821" s="1312"/>
      <c r="E821" s="1313"/>
      <c r="F821" s="1313"/>
      <c r="G821" s="1028"/>
      <c r="H821" s="621" t="s">
        <v>12</v>
      </c>
      <c r="I821" s="892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892">
        <f ca="1">IFERROR(__xludf.DUMMYFUNCTION("IMPORTRANGE(""https://docs.google.com/spreadsheets/d/19vJNZY_5yjcGF2XGBMNZRCAIB0Kwfpjp8YEOfu-bneM/edit?usp=sharing"",""งานกองทุน!F51"")"),5718688.75)</f>
        <v>5718688.75</v>
      </c>
      <c r="K821" s="893">
        <f t="shared" ref="K821:K828" ca="1" si="336">IF(I821&gt;0,J821*100/I821,0)</f>
        <v>93.946438048136827</v>
      </c>
      <c r="L821" s="893"/>
      <c r="M821" s="893"/>
      <c r="N821" s="893"/>
      <c r="O821" s="893"/>
      <c r="P821" s="893"/>
      <c r="Q821" s="1314"/>
      <c r="R821" s="1314"/>
      <c r="S821" s="1314"/>
      <c r="T821" s="1314"/>
      <c r="U821" s="1314"/>
      <c r="V821" s="1314"/>
      <c r="W821" s="1314"/>
      <c r="X821" s="1314"/>
      <c r="Y821" s="1314"/>
      <c r="Z821" s="1314"/>
    </row>
    <row r="822" spans="1:26" ht="18.75">
      <c r="A822" s="1441"/>
      <c r="B822" s="1313"/>
      <c r="C822" s="1313"/>
      <c r="D822" s="1312"/>
      <c r="E822" s="1313"/>
      <c r="F822" s="1313"/>
      <c r="G822" s="1028"/>
      <c r="H822" s="621" t="s">
        <v>35</v>
      </c>
      <c r="I822" s="892">
        <f ca="1">IFERROR(__xludf.DUMMYFUNCTION("IMPORTRANGE(""https://docs.google.com/spreadsheets/d/19vJNZY_5yjcGF2XGBMNZRCAIB0Kwfpjp8YEOfu-bneM/edit?usp=sharing"",""งานกองทุน!C51"")"),301)</f>
        <v>301</v>
      </c>
      <c r="J822" s="892">
        <f ca="1">IFERROR(__xludf.DUMMYFUNCTION("IMPORTRANGE(""https://docs.google.com/spreadsheets/d/19vJNZY_5yjcGF2XGBMNZRCAIB0Kwfpjp8YEOfu-bneM/edit?usp=sharing"",""งานกองทุน!E51"")"),283)</f>
        <v>283</v>
      </c>
      <c r="K822" s="893">
        <f t="shared" ca="1" si="336"/>
        <v>94.019933554817271</v>
      </c>
      <c r="L822" s="893"/>
      <c r="M822" s="893"/>
      <c r="N822" s="893"/>
      <c r="O822" s="893"/>
      <c r="P822" s="893"/>
      <c r="Q822" s="1314"/>
      <c r="R822" s="1314"/>
      <c r="S822" s="1314"/>
      <c r="T822" s="1314"/>
      <c r="U822" s="1314"/>
      <c r="V822" s="1314"/>
      <c r="W822" s="1314"/>
      <c r="X822" s="1314"/>
      <c r="Y822" s="1314"/>
      <c r="Z822" s="1314"/>
    </row>
    <row r="823" spans="1:26" ht="18.75">
      <c r="A823" s="1441"/>
      <c r="B823" s="1313" t="s">
        <v>327</v>
      </c>
      <c r="C823" s="1313"/>
      <c r="D823" s="1312"/>
      <c r="E823" s="1313"/>
      <c r="F823" s="1313"/>
      <c r="G823" s="1028"/>
      <c r="H823" s="621" t="s">
        <v>12</v>
      </c>
      <c r="I823" s="892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892">
        <f ca="1">IFERROR(__xludf.DUMMYFUNCTION("IMPORTRANGE(""https://docs.google.com/spreadsheets/d/19vJNZY_5yjcGF2XGBMNZRCAIB0Kwfpjp8YEOfu-bneM/edit?usp=sharing"",""งานกองทุน!K51"")"),466883.07)</f>
        <v>466883.07</v>
      </c>
      <c r="K823" s="893">
        <f t="shared" ca="1" si="336"/>
        <v>11.193877386370533</v>
      </c>
      <c r="L823" s="893"/>
      <c r="M823" s="893"/>
      <c r="N823" s="893"/>
      <c r="O823" s="893"/>
      <c r="P823" s="893"/>
      <c r="Q823" s="1314"/>
      <c r="R823" s="1314"/>
      <c r="S823" s="1314"/>
      <c r="T823" s="1314"/>
      <c r="U823" s="1314"/>
      <c r="V823" s="1314"/>
      <c r="W823" s="1314"/>
      <c r="X823" s="1314"/>
      <c r="Y823" s="1314"/>
      <c r="Z823" s="1314"/>
    </row>
    <row r="824" spans="1:26" ht="18.75">
      <c r="A824" s="1441"/>
      <c r="B824" s="1313"/>
      <c r="C824" s="1313"/>
      <c r="D824" s="1312"/>
      <c r="E824" s="1313"/>
      <c r="F824" s="1313"/>
      <c r="G824" s="1028"/>
      <c r="H824" s="621" t="s">
        <v>35</v>
      </c>
      <c r="I824" s="892">
        <f ca="1">IFERROR(__xludf.DUMMYFUNCTION("IMPORTRANGE(""https://docs.google.com/spreadsheets/d/19vJNZY_5yjcGF2XGBMNZRCAIB0Kwfpjp8YEOfu-bneM/edit?usp=sharing"",""งานกองทุน!H51"")"),239)</f>
        <v>239</v>
      </c>
      <c r="J824" s="892">
        <f ca="1">IFERROR(__xludf.DUMMYFUNCTION("IMPORTRANGE(""https://docs.google.com/spreadsheets/d/19vJNZY_5yjcGF2XGBMNZRCAIB0Kwfpjp8YEOfu-bneM/edit?usp=sharing"",""งานกองทุน!J51"")"),70)</f>
        <v>70</v>
      </c>
      <c r="K824" s="893">
        <f t="shared" ca="1" si="336"/>
        <v>29.288702928870293</v>
      </c>
      <c r="L824" s="893"/>
      <c r="M824" s="893"/>
      <c r="N824" s="893"/>
      <c r="O824" s="893"/>
      <c r="P824" s="893"/>
      <c r="Q824" s="1314"/>
      <c r="R824" s="1314"/>
      <c r="S824" s="1314"/>
      <c r="T824" s="1314"/>
      <c r="U824" s="1314"/>
      <c r="V824" s="1314"/>
      <c r="W824" s="1314"/>
      <c r="X824" s="1314"/>
      <c r="Y824" s="1314"/>
      <c r="Z824" s="1314"/>
    </row>
    <row r="825" spans="1:26" ht="18.75">
      <c r="A825" s="1441"/>
      <c r="B825" s="1313" t="s">
        <v>328</v>
      </c>
      <c r="C825" s="1313"/>
      <c r="D825" s="1312"/>
      <c r="E825" s="1313"/>
      <c r="F825" s="1313"/>
      <c r="G825" s="1028"/>
      <c r="H825" s="621" t="s">
        <v>12</v>
      </c>
      <c r="I825" s="892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892">
        <f ca="1">IFERROR(__xludf.DUMMYFUNCTION("IMPORTRANGE(""https://docs.google.com/spreadsheets/d/19vJNZY_5yjcGF2XGBMNZRCAIB0Kwfpjp8YEOfu-bneM/edit?usp=sharing"",""งานกองทุน!P51"")"),152141.76)</f>
        <v>152141.76000000001</v>
      </c>
      <c r="K825" s="893">
        <f t="shared" ca="1" si="336"/>
        <v>45.355615181702824</v>
      </c>
      <c r="L825" s="893"/>
      <c r="M825" s="893"/>
      <c r="N825" s="893"/>
      <c r="O825" s="893"/>
      <c r="P825" s="893"/>
      <c r="Q825" s="1314"/>
      <c r="R825" s="1314"/>
      <c r="S825" s="1314"/>
      <c r="T825" s="1314"/>
      <c r="U825" s="1314"/>
      <c r="V825" s="1314"/>
      <c r="W825" s="1314"/>
      <c r="X825" s="1314"/>
      <c r="Y825" s="1314"/>
      <c r="Z825" s="1314"/>
    </row>
    <row r="826" spans="1:26" ht="18.75">
      <c r="A826" s="1441"/>
      <c r="B826" s="1313"/>
      <c r="C826" s="1313"/>
      <c r="D826" s="1312"/>
      <c r="E826" s="1313"/>
      <c r="F826" s="1313"/>
      <c r="G826" s="1028"/>
      <c r="H826" s="621" t="s">
        <v>35</v>
      </c>
      <c r="I826" s="892">
        <f ca="1">IFERROR(__xludf.DUMMYFUNCTION("IMPORTRANGE(""https://docs.google.com/spreadsheets/d/19vJNZY_5yjcGF2XGBMNZRCAIB0Kwfpjp8YEOfu-bneM/edit?usp=sharing"",""งานกองทุน!M51"")"),164)</f>
        <v>164</v>
      </c>
      <c r="J826" s="892">
        <f ca="1">IFERROR(__xludf.DUMMYFUNCTION("IMPORTRANGE(""https://docs.google.com/spreadsheets/d/19vJNZY_5yjcGF2XGBMNZRCAIB0Kwfpjp8YEOfu-bneM/edit?usp=sharing"",""งานกองทุน!O51"")"),146)</f>
        <v>146</v>
      </c>
      <c r="K826" s="893">
        <f t="shared" ca="1" si="336"/>
        <v>89.024390243902445</v>
      </c>
      <c r="L826" s="893"/>
      <c r="M826" s="893"/>
      <c r="N826" s="893"/>
      <c r="O826" s="893"/>
      <c r="P826" s="893"/>
      <c r="Q826" s="1314"/>
      <c r="R826" s="1314"/>
      <c r="S826" s="1314"/>
      <c r="T826" s="1314"/>
      <c r="U826" s="1314"/>
      <c r="V826" s="1314"/>
      <c r="W826" s="1314"/>
      <c r="X826" s="1314"/>
      <c r="Y826" s="1314"/>
      <c r="Z826" s="1314"/>
    </row>
    <row r="827" spans="1:26" ht="18.75">
      <c r="A827" s="1441"/>
      <c r="B827" s="1313" t="s">
        <v>329</v>
      </c>
      <c r="C827" s="1313"/>
      <c r="D827" s="1312"/>
      <c r="E827" s="1313"/>
      <c r="F827" s="1313"/>
      <c r="G827" s="1028"/>
      <c r="H827" s="621" t="s">
        <v>12</v>
      </c>
      <c r="I827" s="892">
        <f ca="1">IFERROR(__xludf.DUMMYFUNCTION("IMPORTRANGE(""https://docs.google.com/spreadsheets/d/19vJNZY_5yjcGF2XGBMNZRCAIB0Kwfpjp8YEOfu-bneM/edit?usp=sharing"",""งานกองทุน!S51"")"),8640000)</f>
        <v>8640000</v>
      </c>
      <c r="J827" s="892">
        <f ca="1">IFERROR(__xludf.DUMMYFUNCTION("IMPORTRANGE(""https://docs.google.com/spreadsheets/d/19vJNZY_5yjcGF2XGBMNZRCAIB0Kwfpjp8YEOfu-bneM/edit?usp=sharing"",""งานกองทุน!U51"")"),6615000)</f>
        <v>6615000</v>
      </c>
      <c r="K827" s="893">
        <f t="shared" ca="1" si="336"/>
        <v>76.5625</v>
      </c>
      <c r="L827" s="893"/>
      <c r="M827" s="893"/>
      <c r="N827" s="893"/>
      <c r="O827" s="893"/>
      <c r="P827" s="893"/>
      <c r="Q827" s="1314"/>
      <c r="R827" s="1314"/>
      <c r="S827" s="1314"/>
      <c r="T827" s="1314"/>
      <c r="U827" s="1314"/>
      <c r="V827" s="1314"/>
      <c r="W827" s="1314"/>
      <c r="X827" s="1314"/>
      <c r="Y827" s="1314"/>
      <c r="Z827" s="1314"/>
    </row>
    <row r="828" spans="1:26" ht="18.75">
      <c r="A828" s="1442"/>
      <c r="B828" s="1444"/>
      <c r="C828" s="1444"/>
      <c r="D828" s="1443"/>
      <c r="E828" s="1444"/>
      <c r="F828" s="1444"/>
      <c r="G828" s="1505"/>
      <c r="H828" s="839" t="s">
        <v>35</v>
      </c>
      <c r="I828" s="1149">
        <f ca="1">IFERROR(__xludf.DUMMYFUNCTION("IMPORTRANGE(""https://docs.google.com/spreadsheets/d/19vJNZY_5yjcGF2XGBMNZRCAIB0Kwfpjp8YEOfu-bneM/edit?usp=sharing"",""งานกองทุน!R51"")"),267)</f>
        <v>267</v>
      </c>
      <c r="J828" s="1149">
        <f ca="1">IFERROR(__xludf.DUMMYFUNCTION("IMPORTRANGE(""https://docs.google.com/spreadsheets/d/19vJNZY_5yjcGF2XGBMNZRCAIB0Kwfpjp8YEOfu-bneM/edit?usp=sharing"",""งานกองทุน!T51"")"),206)</f>
        <v>206</v>
      </c>
      <c r="K828" s="1251">
        <f t="shared" ca="1" si="336"/>
        <v>77.153558052434462</v>
      </c>
      <c r="L828" s="1251"/>
      <c r="M828" s="1251"/>
      <c r="N828" s="1251"/>
      <c r="O828" s="1251"/>
      <c r="P828" s="1251"/>
      <c r="Q828" s="1314"/>
      <c r="R828" s="1314"/>
      <c r="S828" s="1314"/>
      <c r="T828" s="1314"/>
      <c r="U828" s="1314"/>
      <c r="V828" s="1314"/>
      <c r="W828" s="1314"/>
      <c r="X828" s="1314"/>
      <c r="Y828" s="1314"/>
      <c r="Z828" s="1314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E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2023-04-25T06:56:43Z</dcterms:modified>
</cp:coreProperties>
</file>